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M:\FF\Forskerforbundet\"/>
    </mc:Choice>
  </mc:AlternateContent>
  <xr:revisionPtr revIDLastSave="0" documentId="8_{598861A8-4E1E-4FE7-A98B-FA803F419B98}" xr6:coauthVersionLast="47" xr6:coauthVersionMax="47" xr10:uidLastSave="{00000000-0000-0000-0000-000000000000}"/>
  <bookViews>
    <workbookView xWindow="-120" yWindow="-120" windowWidth="29040" windowHeight="15840" tabRatio="657" activeTab="2" xr2:uid="{00000000-000D-0000-FFFF-FFFF00000000}"/>
  </bookViews>
  <sheets>
    <sheet name="Satser" sheetId="1" r:id="rId1"/>
    <sheet name="Ark2" sheetId="2" state="hidden" r:id="rId2"/>
    <sheet name="MAL" sheetId="17" r:id="rId3"/>
    <sheet name="Eks HIU" sheetId="18" r:id="rId4"/>
    <sheet name="Eks TNM" sheetId="19" r:id="rId5"/>
    <sheet name="Eks HS" sheetId="24" r:id="rId6"/>
    <sheet name="Eks HH" sheetId="25" r:id="rId7"/>
  </sheets>
  <definedNames>
    <definedName name="_Toc90052746" localSheetId="0">Satser!$A$29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7" l="1"/>
  <c r="C20" i="17"/>
  <c r="H19" i="17"/>
  <c r="C19" i="17"/>
  <c r="H18" i="17"/>
  <c r="C18" i="17"/>
  <c r="C21" i="17"/>
  <c r="H21" i="17" s="1"/>
  <c r="C17" i="17"/>
  <c r="H17" i="17"/>
  <c r="H16" i="24"/>
  <c r="H17" i="24"/>
  <c r="C14" i="24"/>
  <c r="C15" i="24"/>
  <c r="C16" i="24"/>
  <c r="C17" i="24"/>
  <c r="J35" i="24"/>
  <c r="M15" i="19"/>
  <c r="N15" i="19"/>
  <c r="O15" i="19"/>
  <c r="P15" i="19"/>
  <c r="Q15" i="19"/>
  <c r="M14" i="24"/>
  <c r="N14" i="24"/>
  <c r="O14" i="24"/>
  <c r="P14" i="24"/>
  <c r="Q14" i="24"/>
  <c r="N11" i="25"/>
  <c r="O11" i="25"/>
  <c r="M11" i="25"/>
  <c r="G9" i="25"/>
  <c r="I9" i="25"/>
  <c r="G10" i="25"/>
  <c r="I10" i="25"/>
  <c r="L9" i="25" l="1"/>
  <c r="L11" i="25"/>
  <c r="L10" i="25"/>
  <c r="S10" i="25" s="1"/>
  <c r="L8" i="25"/>
  <c r="C9" i="25"/>
  <c r="F9" i="25" s="1"/>
  <c r="C10" i="25"/>
  <c r="F10" i="25" s="1"/>
  <c r="J10" i="25" s="1"/>
  <c r="J37" i="25"/>
  <c r="I29" i="25"/>
  <c r="J26" i="25"/>
  <c r="J22" i="25"/>
  <c r="J19" i="25"/>
  <c r="C16" i="25"/>
  <c r="J16" i="25" s="1"/>
  <c r="C15" i="25"/>
  <c r="J15" i="25" s="1"/>
  <c r="I8" i="25"/>
  <c r="G8" i="25"/>
  <c r="C8" i="25"/>
  <c r="F8" i="25" s="1"/>
  <c r="I16" i="18"/>
  <c r="H16" i="18"/>
  <c r="G16" i="18"/>
  <c r="C16" i="18"/>
  <c r="F16" i="18" s="1"/>
  <c r="H15" i="24"/>
  <c r="I9" i="24"/>
  <c r="I10" i="24"/>
  <c r="I11" i="24"/>
  <c r="I12" i="24"/>
  <c r="I13" i="24"/>
  <c r="I8" i="24"/>
  <c r="H9" i="24"/>
  <c r="H10" i="24"/>
  <c r="H11" i="24"/>
  <c r="H12" i="24"/>
  <c r="H13" i="24"/>
  <c r="H8" i="24"/>
  <c r="C16" i="19"/>
  <c r="H16" i="19" s="1"/>
  <c r="J33" i="19"/>
  <c r="I9" i="19"/>
  <c r="I10" i="19"/>
  <c r="I12" i="19"/>
  <c r="I13" i="19"/>
  <c r="I14" i="19"/>
  <c r="I8" i="19"/>
  <c r="I9" i="18"/>
  <c r="I10" i="18"/>
  <c r="I11" i="18"/>
  <c r="I12" i="18"/>
  <c r="I13" i="18"/>
  <c r="I14" i="18"/>
  <c r="I8" i="18"/>
  <c r="H8" i="18"/>
  <c r="G13" i="17"/>
  <c r="G14" i="17"/>
  <c r="C15" i="17"/>
  <c r="C25" i="17"/>
  <c r="C24" i="17"/>
  <c r="I12" i="17"/>
  <c r="I13" i="17"/>
  <c r="I14" i="17"/>
  <c r="I11" i="17"/>
  <c r="S8" i="25" l="1"/>
  <c r="T8" i="25" s="1"/>
  <c r="K10" i="25"/>
  <c r="T10" i="25"/>
  <c r="S9" i="25"/>
  <c r="T9" i="25" s="1"/>
  <c r="J9" i="25" s="1"/>
  <c r="J8" i="25"/>
  <c r="H15" i="17"/>
  <c r="J15" i="17" s="1"/>
  <c r="J38" i="17"/>
  <c r="H14" i="17"/>
  <c r="J21" i="24"/>
  <c r="J20" i="24"/>
  <c r="J20" i="19"/>
  <c r="J21" i="18"/>
  <c r="J25" i="17"/>
  <c r="J24" i="17"/>
  <c r="G12" i="17"/>
  <c r="G11" i="17"/>
  <c r="J36" i="24"/>
  <c r="L35" i="24"/>
  <c r="K8" i="25" l="1"/>
  <c r="K9" i="25"/>
  <c r="J35" i="25"/>
  <c r="J39" i="25" s="1"/>
  <c r="H9" i="18"/>
  <c r="H10" i="18"/>
  <c r="H11" i="18"/>
  <c r="H12" i="18"/>
  <c r="H13" i="18"/>
  <c r="H14" i="18"/>
  <c r="G9" i="24"/>
  <c r="G10" i="24"/>
  <c r="G11" i="24"/>
  <c r="G12" i="24"/>
  <c r="G13" i="24"/>
  <c r="G8" i="24"/>
  <c r="L13" i="24" l="1"/>
  <c r="S13" i="24" s="1"/>
  <c r="C13" i="24"/>
  <c r="F13" i="24" s="1"/>
  <c r="J46" i="24"/>
  <c r="J33" i="24"/>
  <c r="J29" i="24"/>
  <c r="J24" i="24"/>
  <c r="L12" i="24"/>
  <c r="S12" i="24" s="1"/>
  <c r="T12" i="24" s="1"/>
  <c r="C12" i="24"/>
  <c r="F12" i="24" s="1"/>
  <c r="L11" i="24"/>
  <c r="C11" i="24"/>
  <c r="F11" i="24" s="1"/>
  <c r="L10" i="24"/>
  <c r="S10" i="24" s="1"/>
  <c r="T10" i="24" s="1"/>
  <c r="C10" i="24"/>
  <c r="F10" i="24" s="1"/>
  <c r="L9" i="24"/>
  <c r="C9" i="24"/>
  <c r="F9" i="24" s="1"/>
  <c r="L8" i="24"/>
  <c r="C8" i="24"/>
  <c r="F8" i="24" s="1"/>
  <c r="S8" i="24" l="1"/>
  <c r="T8" i="24" s="1"/>
  <c r="J8" i="24" s="1"/>
  <c r="L14" i="24"/>
  <c r="J10" i="24"/>
  <c r="J12" i="24"/>
  <c r="T13" i="24"/>
  <c r="J13" i="24" s="1"/>
  <c r="S9" i="24"/>
  <c r="T9" i="24" s="1"/>
  <c r="J9" i="24" s="1"/>
  <c r="S11" i="24"/>
  <c r="T11" i="24" s="1"/>
  <c r="P16" i="1"/>
  <c r="K10" i="24" l="1"/>
  <c r="K13" i="24"/>
  <c r="K12" i="24"/>
  <c r="K9" i="24"/>
  <c r="J11" i="24"/>
  <c r="K8" i="24"/>
  <c r="K11" i="24" l="1"/>
  <c r="J44" i="24"/>
  <c r="G12" i="19"/>
  <c r="G13" i="19"/>
  <c r="G14" i="19"/>
  <c r="C12" i="19"/>
  <c r="F12" i="19" s="1"/>
  <c r="C13" i="19"/>
  <c r="F13" i="19" s="1"/>
  <c r="C14" i="19"/>
  <c r="F14" i="19" s="1"/>
  <c r="L9" i="19"/>
  <c r="L10" i="19"/>
  <c r="L11" i="19"/>
  <c r="L12" i="19"/>
  <c r="L13" i="19"/>
  <c r="L14" i="19"/>
  <c r="L8" i="19"/>
  <c r="S8" i="19" l="1"/>
  <c r="L15" i="19"/>
  <c r="W10" i="19"/>
  <c r="S12" i="19"/>
  <c r="T12" i="19" s="1"/>
  <c r="V8" i="19"/>
  <c r="T8" i="19"/>
  <c r="S11" i="19"/>
  <c r="T11" i="19" s="1"/>
  <c r="W14" i="19"/>
  <c r="J14" i="19" s="1"/>
  <c r="S13" i="19"/>
  <c r="T13" i="19" s="1"/>
  <c r="S9" i="19"/>
  <c r="T9" i="19" s="1"/>
  <c r="V14" i="19"/>
  <c r="V10" i="19"/>
  <c r="W13" i="19"/>
  <c r="W9" i="19"/>
  <c r="S14" i="19"/>
  <c r="T14" i="19" s="1"/>
  <c r="V13" i="19"/>
  <c r="V9" i="19"/>
  <c r="W12" i="19"/>
  <c r="V12" i="19"/>
  <c r="W8" i="19"/>
  <c r="W11" i="19"/>
  <c r="S10" i="19"/>
  <c r="T10" i="19" s="1"/>
  <c r="V11" i="19"/>
  <c r="G13" i="18"/>
  <c r="K14" i="19" l="1"/>
  <c r="J12" i="19"/>
  <c r="J13" i="19"/>
  <c r="K13" i="19" l="1"/>
  <c r="K12" i="19"/>
  <c r="G9" i="19"/>
  <c r="G10" i="19"/>
  <c r="G8" i="19"/>
  <c r="G10" i="18"/>
  <c r="G11" i="18"/>
  <c r="G12" i="18"/>
  <c r="G14" i="18"/>
  <c r="G8" i="18"/>
  <c r="G9" i="18"/>
  <c r="D37" i="18"/>
  <c r="J37" i="18" s="1"/>
  <c r="D36" i="18"/>
  <c r="J36" i="18" s="1"/>
  <c r="D35" i="18"/>
  <c r="J35" i="18" s="1"/>
  <c r="D34" i="18"/>
  <c r="J34" i="18" s="1"/>
  <c r="L9" i="18"/>
  <c r="L10" i="18"/>
  <c r="L11" i="18"/>
  <c r="L12" i="18"/>
  <c r="L13" i="18"/>
  <c r="L14" i="18"/>
  <c r="L8" i="18"/>
  <c r="C12" i="18"/>
  <c r="F12" i="18" s="1"/>
  <c r="C13" i="18"/>
  <c r="F13" i="18" s="1"/>
  <c r="C14" i="18"/>
  <c r="F14" i="18" s="1"/>
  <c r="J43" i="19"/>
  <c r="J31" i="19"/>
  <c r="J27" i="19"/>
  <c r="J23" i="19"/>
  <c r="C11" i="19"/>
  <c r="C10" i="19"/>
  <c r="F10" i="19" s="1"/>
  <c r="C9" i="19"/>
  <c r="F9" i="19" s="1"/>
  <c r="C8" i="19"/>
  <c r="F8" i="19" s="1"/>
  <c r="J46" i="18"/>
  <c r="J31" i="18"/>
  <c r="J27" i="18"/>
  <c r="J24" i="18"/>
  <c r="C11" i="18"/>
  <c r="F11" i="18" s="1"/>
  <c r="C10" i="18"/>
  <c r="F10" i="18" s="1"/>
  <c r="C9" i="18"/>
  <c r="F9" i="18" s="1"/>
  <c r="C8" i="18"/>
  <c r="F8" i="18" s="1"/>
  <c r="J46" i="17"/>
  <c r="J35" i="17"/>
  <c r="J31" i="17"/>
  <c r="J28" i="17"/>
  <c r="C14" i="17"/>
  <c r="C13" i="17"/>
  <c r="F13" i="17" s="1"/>
  <c r="C12" i="17"/>
  <c r="F12" i="17" s="1"/>
  <c r="C11" i="17"/>
  <c r="F11" i="17" s="1"/>
  <c r="F14" i="17" l="1"/>
  <c r="J14" i="17" s="1"/>
  <c r="J13" i="18"/>
  <c r="J12" i="18"/>
  <c r="J8" i="18"/>
  <c r="J9" i="19"/>
  <c r="J8" i="19"/>
  <c r="J10" i="19"/>
  <c r="J9" i="18"/>
  <c r="J14" i="18"/>
  <c r="H13" i="17"/>
  <c r="J13" i="17" s="1"/>
  <c r="J10" i="18"/>
  <c r="S9" i="18"/>
  <c r="T9" i="18" s="1"/>
  <c r="S8" i="18"/>
  <c r="T8" i="18" s="1"/>
  <c r="J12" i="17"/>
  <c r="J11" i="18"/>
  <c r="S14" i="18"/>
  <c r="T14" i="18" s="1"/>
  <c r="S12" i="18"/>
  <c r="T12" i="18" s="1"/>
  <c r="S11" i="18"/>
  <c r="T11" i="18" s="1"/>
  <c r="S13" i="18"/>
  <c r="T13" i="18" s="1"/>
  <c r="S10" i="18"/>
  <c r="T10" i="18" s="1"/>
  <c r="J11" i="17"/>
  <c r="K11" i="18" l="1"/>
  <c r="K10" i="19"/>
  <c r="K8" i="19"/>
  <c r="K9" i="19"/>
  <c r="K12" i="18"/>
  <c r="K9" i="18"/>
  <c r="K8" i="18"/>
  <c r="K10" i="18"/>
  <c r="K13" i="18"/>
  <c r="K14" i="18"/>
  <c r="J44" i="17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78" i="2" s="1"/>
  <c r="F2" i="2"/>
  <c r="F270" i="2" l="1"/>
  <c r="F238" i="2"/>
  <c r="F214" i="2"/>
  <c r="F182" i="2"/>
  <c r="F134" i="2"/>
  <c r="F62" i="2"/>
  <c r="F272" i="2"/>
  <c r="F264" i="2"/>
  <c r="F256" i="2"/>
  <c r="F248" i="2"/>
  <c r="F240" i="2"/>
  <c r="F232" i="2"/>
  <c r="F224" i="2"/>
  <c r="F216" i="2"/>
  <c r="F208" i="2"/>
  <c r="F200" i="2"/>
  <c r="F192" i="2"/>
  <c r="F184" i="2"/>
  <c r="F176" i="2"/>
  <c r="F168" i="2"/>
  <c r="F160" i="2"/>
  <c r="F152" i="2"/>
  <c r="F144" i="2"/>
  <c r="F136" i="2"/>
  <c r="F128" i="2"/>
  <c r="F120" i="2"/>
  <c r="F112" i="2"/>
  <c r="F104" i="2"/>
  <c r="F96" i="2"/>
  <c r="F88" i="2"/>
  <c r="F80" i="2"/>
  <c r="F72" i="2"/>
  <c r="F64" i="2"/>
  <c r="F56" i="2"/>
  <c r="F277" i="2"/>
  <c r="F271" i="2"/>
  <c r="F263" i="2"/>
  <c r="F255" i="2"/>
  <c r="F247" i="2"/>
  <c r="F239" i="2"/>
  <c r="F231" i="2"/>
  <c r="F223" i="2"/>
  <c r="F215" i="2"/>
  <c r="F207" i="2"/>
  <c r="F199" i="2"/>
  <c r="F191" i="2"/>
  <c r="F183" i="2"/>
  <c r="F175" i="2"/>
  <c r="F167" i="2"/>
  <c r="F159" i="2"/>
  <c r="F151" i="2"/>
  <c r="F143" i="2"/>
  <c r="F135" i="2"/>
  <c r="F127" i="2"/>
  <c r="F119" i="2"/>
  <c r="F111" i="2"/>
  <c r="F103" i="2"/>
  <c r="F95" i="2"/>
  <c r="F87" i="2"/>
  <c r="F79" i="2"/>
  <c r="F71" i="2"/>
  <c r="F63" i="2"/>
  <c r="F55" i="2"/>
  <c r="F254" i="2"/>
  <c r="F206" i="2"/>
  <c r="F158" i="2"/>
  <c r="F94" i="2"/>
  <c r="F261" i="2"/>
  <c r="F205" i="2"/>
  <c r="F149" i="2"/>
  <c r="F260" i="2"/>
  <c r="F228" i="2"/>
  <c r="F196" i="2"/>
  <c r="F164" i="2"/>
  <c r="F116" i="2"/>
  <c r="F60" i="2"/>
  <c r="F246" i="2"/>
  <c r="F198" i="2"/>
  <c r="F142" i="2"/>
  <c r="F52" i="2"/>
  <c r="F245" i="2"/>
  <c r="F229" i="2"/>
  <c r="F197" i="2"/>
  <c r="F181" i="2"/>
  <c r="F157" i="2"/>
  <c r="F141" i="2"/>
  <c r="F117" i="2"/>
  <c r="F101" i="2"/>
  <c r="F93" i="2"/>
  <c r="F77" i="2"/>
  <c r="F69" i="2"/>
  <c r="F61" i="2"/>
  <c r="F53" i="2"/>
  <c r="F244" i="2"/>
  <c r="F212" i="2"/>
  <c r="F180" i="2"/>
  <c r="F156" i="2"/>
  <c r="F132" i="2"/>
  <c r="F108" i="2"/>
  <c r="F92" i="2"/>
  <c r="F76" i="2"/>
  <c r="F275" i="2"/>
  <c r="F267" i="2"/>
  <c r="F259" i="2"/>
  <c r="F251" i="2"/>
  <c r="F243" i="2"/>
  <c r="F235" i="2"/>
  <c r="F227" i="2"/>
  <c r="F219" i="2"/>
  <c r="F211" i="2"/>
  <c r="F203" i="2"/>
  <c r="F195" i="2"/>
  <c r="F187" i="2"/>
  <c r="F179" i="2"/>
  <c r="F171" i="2"/>
  <c r="F163" i="2"/>
  <c r="F155" i="2"/>
  <c r="F147" i="2"/>
  <c r="F139" i="2"/>
  <c r="F131" i="2"/>
  <c r="F123" i="2"/>
  <c r="F115" i="2"/>
  <c r="F107" i="2"/>
  <c r="F99" i="2"/>
  <c r="F91" i="2"/>
  <c r="F83" i="2"/>
  <c r="F75" i="2"/>
  <c r="F67" i="2"/>
  <c r="F59" i="2"/>
  <c r="F280" i="2"/>
  <c r="F262" i="2"/>
  <c r="F230" i="2"/>
  <c r="F190" i="2"/>
  <c r="F174" i="2"/>
  <c r="F150" i="2"/>
  <c r="F118" i="2"/>
  <c r="F102" i="2"/>
  <c r="F86" i="2"/>
  <c r="F70" i="2"/>
  <c r="F269" i="2"/>
  <c r="F237" i="2"/>
  <c r="F221" i="2"/>
  <c r="F189" i="2"/>
  <c r="F165" i="2"/>
  <c r="F133" i="2"/>
  <c r="F109" i="2"/>
  <c r="F85" i="2"/>
  <c r="F276" i="2"/>
  <c r="F252" i="2"/>
  <c r="F236" i="2"/>
  <c r="F220" i="2"/>
  <c r="F204" i="2"/>
  <c r="F188" i="2"/>
  <c r="F172" i="2"/>
  <c r="F148" i="2"/>
  <c r="F140" i="2"/>
  <c r="F124" i="2"/>
  <c r="F100" i="2"/>
  <c r="F84" i="2"/>
  <c r="F68" i="2"/>
  <c r="F281" i="2"/>
  <c r="F274" i="2"/>
  <c r="F266" i="2"/>
  <c r="F258" i="2"/>
  <c r="F250" i="2"/>
  <c r="F242" i="2"/>
  <c r="F234" i="2"/>
  <c r="F226" i="2"/>
  <c r="F218" i="2"/>
  <c r="F210" i="2"/>
  <c r="F202" i="2"/>
  <c r="F194" i="2"/>
  <c r="F186" i="2"/>
  <c r="F178" i="2"/>
  <c r="F170" i="2"/>
  <c r="F162" i="2"/>
  <c r="F154" i="2"/>
  <c r="F146" i="2"/>
  <c r="F138" i="2"/>
  <c r="F130" i="2"/>
  <c r="F122" i="2"/>
  <c r="F114" i="2"/>
  <c r="F106" i="2"/>
  <c r="F98" i="2"/>
  <c r="F90" i="2"/>
  <c r="F82" i="2"/>
  <c r="F74" i="2"/>
  <c r="F66" i="2"/>
  <c r="F58" i="2"/>
  <c r="F279" i="2"/>
  <c r="F222" i="2"/>
  <c r="F166" i="2"/>
  <c r="F126" i="2"/>
  <c r="F110" i="2"/>
  <c r="F78" i="2"/>
  <c r="F54" i="2"/>
  <c r="F253" i="2"/>
  <c r="F213" i="2"/>
  <c r="F173" i="2"/>
  <c r="F125" i="2"/>
  <c r="F268" i="2"/>
  <c r="F273" i="2"/>
  <c r="F265" i="2"/>
  <c r="F257" i="2"/>
  <c r="F249" i="2"/>
  <c r="F241" i="2"/>
  <c r="F233" i="2"/>
  <c r="F225" i="2"/>
  <c r="F217" i="2"/>
  <c r="F209" i="2"/>
  <c r="F201" i="2"/>
  <c r="F193" i="2"/>
  <c r="F185" i="2"/>
  <c r="F177" i="2"/>
  <c r="F169" i="2"/>
  <c r="F161" i="2"/>
  <c r="F153" i="2"/>
  <c r="F145" i="2"/>
  <c r="F137" i="2"/>
  <c r="F129" i="2"/>
  <c r="F121" i="2"/>
  <c r="F113" i="2"/>
  <c r="F105" i="2"/>
  <c r="F97" i="2"/>
  <c r="F89" i="2"/>
  <c r="F81" i="2"/>
  <c r="F73" i="2"/>
  <c r="F65" i="2"/>
  <c r="F57" i="2"/>
  <c r="P15" i="1"/>
  <c r="P14" i="1"/>
  <c r="J48" i="17" l="1"/>
  <c r="J41" i="19"/>
  <c r="O7" i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2" i="2"/>
  <c r="J48" i="24" l="1"/>
  <c r="K21" i="18"/>
  <c r="J44" i="18"/>
  <c r="J48" i="18" s="1"/>
  <c r="J45" i="19"/>
  <c r="D38" i="2"/>
  <c r="D69" i="2"/>
  <c r="D53" i="2"/>
  <c r="D37" i="2"/>
  <c r="D76" i="2"/>
  <c r="D68" i="2"/>
  <c r="D60" i="2"/>
  <c r="D52" i="2"/>
  <c r="D44" i="2"/>
  <c r="D36" i="2"/>
  <c r="D77" i="2"/>
  <c r="D61" i="2"/>
  <c r="D45" i="2"/>
  <c r="D75" i="2"/>
  <c r="D67" i="2"/>
  <c r="D59" i="2"/>
  <c r="D51" i="2"/>
  <c r="D43" i="2"/>
  <c r="D35" i="2"/>
  <c r="D32" i="2"/>
  <c r="D66" i="2"/>
  <c r="D50" i="2"/>
  <c r="D34" i="2"/>
  <c r="D81" i="2"/>
  <c r="D73" i="2"/>
  <c r="D65" i="2"/>
  <c r="D57" i="2"/>
  <c r="D49" i="2"/>
  <c r="D41" i="2"/>
  <c r="O6" i="1" s="1"/>
  <c r="D33" i="2"/>
  <c r="D74" i="2"/>
  <c r="D58" i="2"/>
  <c r="D42" i="2"/>
  <c r="D80" i="2"/>
  <c r="D72" i="2"/>
  <c r="D64" i="2"/>
  <c r="D56" i="2"/>
  <c r="D48" i="2"/>
  <c r="D40" i="2"/>
  <c r="D79" i="2"/>
  <c r="D71" i="2"/>
  <c r="D63" i="2"/>
  <c r="D55" i="2"/>
  <c r="D47" i="2"/>
  <c r="D39" i="2"/>
  <c r="D78" i="2"/>
  <c r="D70" i="2"/>
  <c r="D62" i="2"/>
  <c r="D54" i="2"/>
  <c r="D46" i="2"/>
  <c r="O5" i="1"/>
  <c r="D83" i="2" l="1"/>
  <c r="D91" i="2"/>
  <c r="D99" i="2"/>
  <c r="D107" i="2"/>
  <c r="D115" i="2"/>
  <c r="D123" i="2"/>
  <c r="D131" i="2"/>
  <c r="D139" i="2"/>
  <c r="D147" i="2"/>
  <c r="D155" i="2"/>
  <c r="D163" i="2"/>
  <c r="D171" i="2"/>
  <c r="D179" i="2"/>
  <c r="D187" i="2"/>
  <c r="D195" i="2"/>
  <c r="D203" i="2"/>
  <c r="D211" i="2"/>
  <c r="D219" i="2"/>
  <c r="D227" i="2"/>
  <c r="D235" i="2"/>
  <c r="D243" i="2"/>
  <c r="D251" i="2"/>
  <c r="D259" i="2"/>
  <c r="D267" i="2"/>
  <c r="D275" i="2"/>
  <c r="D84" i="2"/>
  <c r="D92" i="2"/>
  <c r="D100" i="2"/>
  <c r="D108" i="2"/>
  <c r="D116" i="2"/>
  <c r="D124" i="2"/>
  <c r="D132" i="2"/>
  <c r="D140" i="2"/>
  <c r="D148" i="2"/>
  <c r="D156" i="2"/>
  <c r="D164" i="2"/>
  <c r="D172" i="2"/>
  <c r="D180" i="2"/>
  <c r="D188" i="2"/>
  <c r="D196" i="2"/>
  <c r="D204" i="2"/>
  <c r="D212" i="2"/>
  <c r="D220" i="2"/>
  <c r="D228" i="2"/>
  <c r="D236" i="2"/>
  <c r="D244" i="2"/>
  <c r="D252" i="2"/>
  <c r="D260" i="2"/>
  <c r="D268" i="2"/>
  <c r="D276" i="2"/>
  <c r="D85" i="2"/>
  <c r="D93" i="2"/>
  <c r="D101" i="2"/>
  <c r="D109" i="2"/>
  <c r="D117" i="2"/>
  <c r="D125" i="2"/>
  <c r="D133" i="2"/>
  <c r="D141" i="2"/>
  <c r="D149" i="2"/>
  <c r="D157" i="2"/>
  <c r="D165" i="2"/>
  <c r="D173" i="2"/>
  <c r="D181" i="2"/>
  <c r="D189" i="2"/>
  <c r="D197" i="2"/>
  <c r="D205" i="2"/>
  <c r="D213" i="2"/>
  <c r="D221" i="2"/>
  <c r="D229" i="2"/>
  <c r="D237" i="2"/>
  <c r="D245" i="2"/>
  <c r="D253" i="2"/>
  <c r="D261" i="2"/>
  <c r="D269" i="2"/>
  <c r="D277" i="2"/>
  <c r="D87" i="2"/>
  <c r="D103" i="2"/>
  <c r="D119" i="2"/>
  <c r="D143" i="2"/>
  <c r="D159" i="2"/>
  <c r="D175" i="2"/>
  <c r="D191" i="2"/>
  <c r="D199" i="2"/>
  <c r="D215" i="2"/>
  <c r="D231" i="2"/>
  <c r="D247" i="2"/>
  <c r="D263" i="2"/>
  <c r="D279" i="2"/>
  <c r="D86" i="2"/>
  <c r="D94" i="2"/>
  <c r="D102" i="2"/>
  <c r="D110" i="2"/>
  <c r="D118" i="2"/>
  <c r="D126" i="2"/>
  <c r="D134" i="2"/>
  <c r="D142" i="2"/>
  <c r="D150" i="2"/>
  <c r="D158" i="2"/>
  <c r="D166" i="2"/>
  <c r="D174" i="2"/>
  <c r="D182" i="2"/>
  <c r="D190" i="2"/>
  <c r="D198" i="2"/>
  <c r="D206" i="2"/>
  <c r="D214" i="2"/>
  <c r="D222" i="2"/>
  <c r="D230" i="2"/>
  <c r="D238" i="2"/>
  <c r="D246" i="2"/>
  <c r="D254" i="2"/>
  <c r="D262" i="2"/>
  <c r="D270" i="2"/>
  <c r="D278" i="2"/>
  <c r="D95" i="2"/>
  <c r="D111" i="2"/>
  <c r="D127" i="2"/>
  <c r="D135" i="2"/>
  <c r="D151" i="2"/>
  <c r="D167" i="2"/>
  <c r="D183" i="2"/>
  <c r="D207" i="2"/>
  <c r="D223" i="2"/>
  <c r="D239" i="2"/>
  <c r="D255" i="2"/>
  <c r="D271" i="2"/>
  <c r="D88" i="2"/>
  <c r="D96" i="2"/>
  <c r="D104" i="2"/>
  <c r="D112" i="2"/>
  <c r="D120" i="2"/>
  <c r="D128" i="2"/>
  <c r="D136" i="2"/>
  <c r="D144" i="2"/>
  <c r="D152" i="2"/>
  <c r="D160" i="2"/>
  <c r="D168" i="2"/>
  <c r="D176" i="2"/>
  <c r="D184" i="2"/>
  <c r="D192" i="2"/>
  <c r="D200" i="2"/>
  <c r="D208" i="2"/>
  <c r="D216" i="2"/>
  <c r="D224" i="2"/>
  <c r="D232" i="2"/>
  <c r="D240" i="2"/>
  <c r="D248" i="2"/>
  <c r="D256" i="2"/>
  <c r="D264" i="2"/>
  <c r="D272" i="2"/>
  <c r="D280" i="2"/>
  <c r="D98" i="2"/>
  <c r="D114" i="2"/>
  <c r="D138" i="2"/>
  <c r="D154" i="2"/>
  <c r="D170" i="2"/>
  <c r="D178" i="2"/>
  <c r="D194" i="2"/>
  <c r="D210" i="2"/>
  <c r="D226" i="2"/>
  <c r="D242" i="2"/>
  <c r="D258" i="2"/>
  <c r="D266" i="2"/>
  <c r="D82" i="2"/>
  <c r="D89" i="2"/>
  <c r="D97" i="2"/>
  <c r="D105" i="2"/>
  <c r="D113" i="2"/>
  <c r="D121" i="2"/>
  <c r="D129" i="2"/>
  <c r="D137" i="2"/>
  <c r="D145" i="2"/>
  <c r="D153" i="2"/>
  <c r="D161" i="2"/>
  <c r="D169" i="2"/>
  <c r="D177" i="2"/>
  <c r="D185" i="2"/>
  <c r="D193" i="2"/>
  <c r="D201" i="2"/>
  <c r="D209" i="2"/>
  <c r="D217" i="2"/>
  <c r="D225" i="2"/>
  <c r="D233" i="2"/>
  <c r="D241" i="2"/>
  <c r="D249" i="2"/>
  <c r="D257" i="2"/>
  <c r="D265" i="2"/>
  <c r="D273" i="2"/>
  <c r="D281" i="2"/>
  <c r="D90" i="2"/>
  <c r="D106" i="2"/>
  <c r="D122" i="2"/>
  <c r="D130" i="2"/>
  <c r="D146" i="2"/>
  <c r="D162" i="2"/>
  <c r="D186" i="2"/>
  <c r="D202" i="2"/>
  <c r="D218" i="2"/>
  <c r="D234" i="2"/>
  <c r="D250" i="2"/>
  <c r="D27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4" i="2" s="1"/>
  <c r="B2" i="2"/>
  <c r="B283" i="2" l="1"/>
  <c r="B235" i="2"/>
  <c r="B171" i="2"/>
  <c r="B75" i="2"/>
  <c r="B234" i="2"/>
  <c r="B178" i="2"/>
  <c r="B82" i="2"/>
  <c r="B289" i="2"/>
  <c r="B273" i="2"/>
  <c r="B265" i="2"/>
  <c r="B257" i="2"/>
  <c r="B249" i="2"/>
  <c r="B241" i="2"/>
  <c r="B233" i="2"/>
  <c r="B225" i="2"/>
  <c r="B217" i="2"/>
  <c r="B209" i="2"/>
  <c r="B201" i="2"/>
  <c r="B193" i="2"/>
  <c r="B185" i="2"/>
  <c r="B177" i="2"/>
  <c r="B169" i="2"/>
  <c r="B161" i="2"/>
  <c r="B153" i="2"/>
  <c r="B145" i="2"/>
  <c r="B137" i="2"/>
  <c r="B129" i="2"/>
  <c r="B121" i="2"/>
  <c r="B113" i="2"/>
  <c r="B105" i="2"/>
  <c r="B97" i="2"/>
  <c r="B89" i="2"/>
  <c r="B81" i="2"/>
  <c r="B73" i="2"/>
  <c r="B65" i="2"/>
  <c r="B57" i="2"/>
  <c r="B49" i="2"/>
  <c r="B291" i="2"/>
  <c r="B259" i="2"/>
  <c r="B227" i="2"/>
  <c r="B211" i="2"/>
  <c r="B187" i="2"/>
  <c r="B163" i="2"/>
  <c r="B131" i="2"/>
  <c r="B107" i="2"/>
  <c r="B83" i="2"/>
  <c r="B43" i="2"/>
  <c r="B274" i="2"/>
  <c r="B242" i="2"/>
  <c r="B226" i="2"/>
  <c r="B194" i="2"/>
  <c r="B162" i="2"/>
  <c r="B130" i="2"/>
  <c r="B122" i="2"/>
  <c r="B90" i="2"/>
  <c r="B74" i="2"/>
  <c r="B50" i="2"/>
  <c r="B281" i="2"/>
  <c r="B288" i="2"/>
  <c r="B280" i="2"/>
  <c r="B272" i="2"/>
  <c r="B264" i="2"/>
  <c r="B256" i="2"/>
  <c r="B248" i="2"/>
  <c r="B240" i="2"/>
  <c r="B232" i="2"/>
  <c r="B224" i="2"/>
  <c r="B216" i="2"/>
  <c r="B208" i="2"/>
  <c r="B200" i="2"/>
  <c r="B192" i="2"/>
  <c r="B184" i="2"/>
  <c r="B176" i="2"/>
  <c r="B168" i="2"/>
  <c r="B160" i="2"/>
  <c r="B152" i="2"/>
  <c r="B144" i="2"/>
  <c r="B136" i="2"/>
  <c r="B128" i="2"/>
  <c r="B120" i="2"/>
  <c r="B112" i="2"/>
  <c r="B104" i="2"/>
  <c r="B96" i="2"/>
  <c r="B88" i="2"/>
  <c r="B80" i="2"/>
  <c r="B72" i="2"/>
  <c r="B64" i="2"/>
  <c r="B56" i="2"/>
  <c r="B48" i="2"/>
  <c r="B287" i="2"/>
  <c r="B279" i="2"/>
  <c r="B271" i="2"/>
  <c r="B263" i="2"/>
  <c r="B255" i="2"/>
  <c r="B247" i="2"/>
  <c r="B239" i="2"/>
  <c r="B231" i="2"/>
  <c r="B223" i="2"/>
  <c r="B215" i="2"/>
  <c r="B207" i="2"/>
  <c r="B199" i="2"/>
  <c r="B191" i="2"/>
  <c r="B183" i="2"/>
  <c r="B175" i="2"/>
  <c r="B167" i="2"/>
  <c r="B159" i="2"/>
  <c r="B151" i="2"/>
  <c r="B143" i="2"/>
  <c r="B135" i="2"/>
  <c r="B127" i="2"/>
  <c r="B119" i="2"/>
  <c r="B111" i="2"/>
  <c r="B103" i="2"/>
  <c r="B95" i="2"/>
  <c r="B87" i="2"/>
  <c r="B79" i="2"/>
  <c r="B71" i="2"/>
  <c r="B63" i="2"/>
  <c r="B55" i="2"/>
  <c r="B47" i="2"/>
  <c r="B251" i="2"/>
  <c r="B203" i="2"/>
  <c r="B155" i="2"/>
  <c r="B123" i="2"/>
  <c r="B99" i="2"/>
  <c r="B51" i="2"/>
  <c r="B266" i="2"/>
  <c r="B218" i="2"/>
  <c r="B186" i="2"/>
  <c r="B146" i="2"/>
  <c r="B114" i="2"/>
  <c r="B58" i="2"/>
  <c r="B286" i="2"/>
  <c r="B278" i="2"/>
  <c r="B270" i="2"/>
  <c r="B262" i="2"/>
  <c r="B254" i="2"/>
  <c r="B246" i="2"/>
  <c r="B238" i="2"/>
  <c r="B230" i="2"/>
  <c r="B222" i="2"/>
  <c r="B214" i="2"/>
  <c r="B206" i="2"/>
  <c r="B198" i="2"/>
  <c r="B190" i="2"/>
  <c r="B182" i="2"/>
  <c r="B174" i="2"/>
  <c r="B166" i="2"/>
  <c r="B158" i="2"/>
  <c r="B150" i="2"/>
  <c r="B142" i="2"/>
  <c r="B134" i="2"/>
  <c r="B126" i="2"/>
  <c r="B118" i="2"/>
  <c r="B110" i="2"/>
  <c r="B102" i="2"/>
  <c r="B94" i="2"/>
  <c r="B86" i="2"/>
  <c r="B78" i="2"/>
  <c r="B70" i="2"/>
  <c r="B62" i="2"/>
  <c r="B54" i="2"/>
  <c r="B46" i="2"/>
  <c r="B267" i="2"/>
  <c r="B219" i="2"/>
  <c r="B179" i="2"/>
  <c r="B139" i="2"/>
  <c r="B115" i="2"/>
  <c r="B91" i="2"/>
  <c r="B59" i="2"/>
  <c r="B282" i="2"/>
  <c r="B250" i="2"/>
  <c r="B202" i="2"/>
  <c r="B170" i="2"/>
  <c r="B138" i="2"/>
  <c r="B106" i="2"/>
  <c r="B66" i="2"/>
  <c r="B285" i="2"/>
  <c r="B277" i="2"/>
  <c r="B269" i="2"/>
  <c r="B261" i="2"/>
  <c r="B253" i="2"/>
  <c r="B245" i="2"/>
  <c r="B237" i="2"/>
  <c r="B229" i="2"/>
  <c r="B221" i="2"/>
  <c r="B213" i="2"/>
  <c r="B205" i="2"/>
  <c r="B197" i="2"/>
  <c r="B189" i="2"/>
  <c r="B181" i="2"/>
  <c r="B173" i="2"/>
  <c r="B165" i="2"/>
  <c r="B157" i="2"/>
  <c r="B149" i="2"/>
  <c r="B141" i="2"/>
  <c r="B133" i="2"/>
  <c r="B125" i="2"/>
  <c r="B117" i="2"/>
  <c r="B109" i="2"/>
  <c r="B101" i="2"/>
  <c r="B93" i="2"/>
  <c r="B85" i="2"/>
  <c r="B77" i="2"/>
  <c r="B69" i="2"/>
  <c r="B61" i="2"/>
  <c r="B53" i="2"/>
  <c r="B45" i="2"/>
  <c r="B275" i="2"/>
  <c r="B243" i="2"/>
  <c r="B195" i="2"/>
  <c r="B147" i="2"/>
  <c r="B67" i="2"/>
  <c r="B290" i="2"/>
  <c r="B258" i="2"/>
  <c r="B210" i="2"/>
  <c r="B154" i="2"/>
  <c r="B98" i="2"/>
  <c r="B42" i="2"/>
  <c r="B284" i="2"/>
  <c r="B276" i="2"/>
  <c r="B268" i="2"/>
  <c r="B260" i="2"/>
  <c r="B252" i="2"/>
  <c r="B244" i="2"/>
  <c r="B236" i="2"/>
  <c r="B228" i="2"/>
  <c r="B220" i="2"/>
  <c r="B212" i="2"/>
  <c r="B204" i="2"/>
  <c r="B196" i="2"/>
  <c r="B188" i="2"/>
  <c r="B180" i="2"/>
  <c r="B172" i="2"/>
  <c r="B164" i="2"/>
  <c r="B156" i="2"/>
  <c r="B148" i="2"/>
  <c r="B140" i="2"/>
  <c r="B132" i="2"/>
  <c r="B124" i="2"/>
  <c r="B116" i="2"/>
  <c r="B108" i="2"/>
  <c r="B100" i="2"/>
  <c r="B92" i="2"/>
  <c r="B84" i="2"/>
  <c r="B76" i="2"/>
  <c r="B68" i="2"/>
  <c r="B60" i="2"/>
  <c r="B52" i="2"/>
  <c r="O9" i="1" l="1"/>
</calcChain>
</file>

<file path=xl/sharedStrings.xml><?xml version="1.0" encoding="utf-8"?>
<sst xmlns="http://schemas.openxmlformats.org/spreadsheetml/2006/main" count="461" uniqueCount="241">
  <si>
    <t>Undervisning</t>
  </si>
  <si>
    <t>Veiledning</t>
  </si>
  <si>
    <t>Sensur/evaluering</t>
  </si>
  <si>
    <t>Student</t>
  </si>
  <si>
    <t>Faglig administrasjon</t>
  </si>
  <si>
    <t>Bacheloroppgave</t>
  </si>
  <si>
    <t>Masteroppgave</t>
  </si>
  <si>
    <t>Stp</t>
  </si>
  <si>
    <t>Ressurs pr gruppe</t>
  </si>
  <si>
    <t>Stillings%</t>
  </si>
  <si>
    <t>(5 ukers ferie)</t>
  </si>
  <si>
    <t>Sensur/veiledning HBV</t>
  </si>
  <si>
    <t>Sensur/veiledning HSN</t>
  </si>
  <si>
    <t>timer x ant studiepoeng (de 20 første stud)</t>
  </si>
  <si>
    <t>arb.timer/student/stp 51-100 studenter</t>
  </si>
  <si>
    <t>arb.timer/student/stp 101 studenter og over</t>
  </si>
  <si>
    <t>arb.timer/student/stp 21-50 studenter</t>
  </si>
  <si>
    <t>Student nett</t>
  </si>
  <si>
    <t>Veiledning nett</t>
  </si>
  <si>
    <t>(1) Læringsaktiviteter og vurdering</t>
  </si>
  <si>
    <t>(4) Administrasjon</t>
  </si>
  <si>
    <t>Ant.stud.</t>
  </si>
  <si>
    <t>(1.1)</t>
  </si>
  <si>
    <t>Praksis/lab</t>
  </si>
  <si>
    <t>(1.4)</t>
  </si>
  <si>
    <t>Sensur</t>
  </si>
  <si>
    <t>(1.5)</t>
  </si>
  <si>
    <t>(2) FOU, innovasjon, kunstnerisk utviklingsarbeid og formidling</t>
  </si>
  <si>
    <t>Veiledning iht pkt 1.3 i retningslinjene</t>
  </si>
  <si>
    <t>Grunntimer</t>
  </si>
  <si>
    <t>Ny modell</t>
  </si>
  <si>
    <t>Arbeidsplanens planlagte arbeidstimer</t>
  </si>
  <si>
    <t>Beskrivelse av FoU-prosjekt utformes</t>
  </si>
  <si>
    <t>Beskrivelse av ped.utv.-prosjekt utformes</t>
  </si>
  <si>
    <t>Org. timer til stud. (1)</t>
  </si>
  <si>
    <t>Utvalg (4)</t>
  </si>
  <si>
    <t xml:space="preserve">   Faglig-administrative oppgaver knyttet til program- og forskningsledelse (4.1)</t>
  </si>
  <si>
    <t xml:space="preserve">   Faglig-administrative oppgaver på nivå 4 (4.2)</t>
  </si>
  <si>
    <t xml:space="preserve">   Faglig-administrative oppgaver knyttet til emneansvar (4.3)</t>
  </si>
  <si>
    <t xml:space="preserve">   Kjøring mellom studiesteder (4.4)</t>
  </si>
  <si>
    <t xml:space="preserve">   Sakkyndig utvalg og bedømmelseskomite ph.d. (4.5)</t>
  </si>
  <si>
    <t>(1.2)</t>
  </si>
  <si>
    <t>Sum planlagte arbeidsoppgaver (1), (2), (3) og (4)</t>
  </si>
  <si>
    <t>Over- / undertimer</t>
  </si>
  <si>
    <t>Lærings-aktiviteter</t>
  </si>
  <si>
    <t>Tildelte 
timer</t>
  </si>
  <si>
    <t>Praksis</t>
  </si>
  <si>
    <t>Emneansvar</t>
  </si>
  <si>
    <t>(3) Faglig pedagogisk utviklingsarbeid (FPU)</t>
  </si>
  <si>
    <t>(mellom 3 - 8 %)</t>
  </si>
  <si>
    <t>Tid i WP</t>
  </si>
  <si>
    <t>Underv</t>
  </si>
  <si>
    <t>Veil</t>
  </si>
  <si>
    <t>Totalt</t>
  </si>
  <si>
    <t>Studenter</t>
  </si>
  <si>
    <t>Fast ressurs</t>
  </si>
  <si>
    <t>Emne 4 - lab/sim (TNM/HS/HIU)</t>
  </si>
  <si>
    <t>MAL - Simulering arbeidsplan</t>
  </si>
  <si>
    <t>Emne 1</t>
  </si>
  <si>
    <t>Ansattnr 3005735</t>
  </si>
  <si>
    <t>Fagdidaktikk 1 friluftsliv</t>
  </si>
  <si>
    <t>Fagdidaktikk 2 friluftsliv</t>
  </si>
  <si>
    <t>Fagdidaktikk 3 friluftsliv fordypning</t>
  </si>
  <si>
    <t>Idrettsaktiviteter 3. året</t>
  </si>
  <si>
    <t>Kroppsøving, emne 4</t>
  </si>
  <si>
    <t>Kroppsøving, mastermne 1</t>
  </si>
  <si>
    <t>Emneansvare:</t>
  </si>
  <si>
    <t>Dif</t>
  </si>
  <si>
    <t>Dif.</t>
  </si>
  <si>
    <t>Tildelt</t>
  </si>
  <si>
    <t>til andre</t>
  </si>
  <si>
    <t>totalt</t>
  </si>
  <si>
    <t>Andel</t>
  </si>
  <si>
    <t xml:space="preserve"> EVU Dekomp</t>
  </si>
  <si>
    <t>u emneansvar</t>
  </si>
  <si>
    <t>D1208 Advanced Multivariate Dalta Analysis</t>
  </si>
  <si>
    <t>PB1120P-1-H Elektrisitetslære 1</t>
  </si>
  <si>
    <t>PB11400P-1-V Elektrisitetslære 2</t>
  </si>
  <si>
    <t>FMH606-1-V Master's Thesis</t>
  </si>
  <si>
    <t>IIA2117-1-H Multivariate Data Analysis</t>
  </si>
  <si>
    <t>D0110 Process Analytical Technology</t>
  </si>
  <si>
    <t>FM4017-1-H Project</t>
  </si>
  <si>
    <t xml:space="preserve"> Ph.d hovedveileder</t>
  </si>
  <si>
    <t xml:space="preserve">   HMS-arbeid laboratorium</t>
  </si>
  <si>
    <t xml:space="preserve">normert </t>
  </si>
  <si>
    <t>til emnet</t>
  </si>
  <si>
    <t>Gjenstår</t>
  </si>
  <si>
    <t>av normert</t>
  </si>
  <si>
    <t>Studenter:</t>
  </si>
  <si>
    <t>WP</t>
  </si>
  <si>
    <r>
      <rPr>
        <b/>
        <sz val="11"/>
        <color theme="1"/>
        <rFont val="Calibri"/>
        <family val="2"/>
        <scheme val="minor"/>
      </rPr>
      <t xml:space="preserve">Læringsaktiviteter: </t>
    </r>
    <r>
      <rPr>
        <sz val="11"/>
        <color theme="1"/>
        <rFont val="Calibri"/>
        <family val="2"/>
        <scheme val="minor"/>
      </rPr>
      <t>Org. timer til student * faktor 3,5</t>
    </r>
  </si>
  <si>
    <t xml:space="preserve">Veiledning: </t>
  </si>
  <si>
    <t>Student 1-20: 8 X antall studiepoeng (60 timer ved 7,5 studiepoeng)</t>
  </si>
  <si>
    <t>Student 21-50: 0,2 X antall studiepoeng X (antall studenter – 20)</t>
  </si>
  <si>
    <t>Student 51 - 100: 0,1 X antall studiepoeng X (antall studenter – 50)</t>
  </si>
  <si>
    <r>
      <rPr>
        <sz val="9"/>
        <color theme="1"/>
        <rFont val="Calibri"/>
        <family val="2"/>
        <scheme val="minor"/>
      </rPr>
      <t>Student 101</t>
    </r>
    <r>
      <rPr>
        <sz val="9"/>
        <color theme="1"/>
        <rFont val="Wingdings"/>
        <charset val="2"/>
      </rPr>
      <t>à</t>
    </r>
    <r>
      <rPr>
        <sz val="9"/>
        <color theme="1"/>
        <rFont val="Calibri"/>
        <family val="2"/>
        <scheme val="minor"/>
      </rPr>
      <t>: 0,075 X antall studiepoeng X (antall studenter – 100)</t>
    </r>
  </si>
  <si>
    <r>
      <rPr>
        <b/>
        <sz val="11"/>
        <rFont val="Calibri"/>
        <family val="2"/>
        <scheme val="minor"/>
      </rPr>
      <t>Lab/sim</t>
    </r>
    <r>
      <rPr>
        <sz val="11"/>
        <rFont val="Calibri"/>
        <family val="2"/>
        <scheme val="minor"/>
      </rPr>
      <t>: Organiserte timer * faktor 2</t>
    </r>
  </si>
  <si>
    <t>Normert til emnet og faktisk tildelt er ulikt</t>
  </si>
  <si>
    <t>Masteroppgave (FMH606-1-V Master's Thesis</t>
  </si>
  <si>
    <t>Masteroppgave tildeles veiledning etter formel nedenfor</t>
  </si>
  <si>
    <t>050-E16-1-H Klinisk sykepleie - hjemmesykepleie</t>
  </si>
  <si>
    <t>051-E16-1H Klinisk sykepleie - hjemmesykepleie</t>
  </si>
  <si>
    <t>METODE1-1-PORS-HV Metoder og intervensjoner - grunnleggende sykepleie</t>
  </si>
  <si>
    <t>METODE2-1-PORS-H Metoder og intervensjoner 2</t>
  </si>
  <si>
    <t>051-E14-1-H Sykepleie - fagutvikling og forskning</t>
  </si>
  <si>
    <t>Tilleggsressurs per student er 7,5 stp</t>
  </si>
  <si>
    <t xml:space="preserve"> (Emneansvar 65 timer + 40 timer ny studieplan)</t>
  </si>
  <si>
    <t>Emneansvar - Klinisk sykepleie - hjemmesykepleie</t>
  </si>
  <si>
    <t>Diverse</t>
  </si>
  <si>
    <t>(1.3) Veiledning</t>
  </si>
  <si>
    <t>(4-1) Deltagelse i utvalg på institusjonsnivå</t>
  </si>
  <si>
    <t xml:space="preserve">   (4.3) Faglig-administrative oppgaver knyttet til program- og forskningsledelse</t>
  </si>
  <si>
    <t xml:space="preserve">   (4.4) Faglig-administrative oppgaver på nivå 4</t>
  </si>
  <si>
    <r>
      <rPr>
        <b/>
        <sz val="11"/>
        <color rgb="FF000000"/>
        <rFont val="Calibri"/>
        <family val="2"/>
        <scheme val="minor"/>
      </rPr>
      <t xml:space="preserve">Praksis Alt 1: </t>
    </r>
    <r>
      <rPr>
        <sz val="11"/>
        <color rgb="FF000000"/>
        <rFont val="Calibri"/>
        <family val="2"/>
        <scheme val="minor"/>
      </rPr>
      <t>8 timer fast + 2 timer per student per 15 stp</t>
    </r>
  </si>
  <si>
    <t>050-E16-1-V Klinisk sykepleie - hjemmesykepleie</t>
  </si>
  <si>
    <t>Antall timer pr oppgave</t>
  </si>
  <si>
    <r>
      <rPr>
        <b/>
        <sz val="11"/>
        <color theme="1"/>
        <rFont val="Calibri"/>
        <family val="2"/>
        <scheme val="minor"/>
      </rPr>
      <t>Bacheloroppgave</t>
    </r>
    <r>
      <rPr>
        <sz val="11"/>
        <color theme="1"/>
        <rFont val="Calibri"/>
        <family val="2"/>
        <scheme val="minor"/>
      </rPr>
      <t>: (5-10 timer * Antall oppgaver) + antall studiepoeng</t>
    </r>
  </si>
  <si>
    <r>
      <rPr>
        <b/>
        <sz val="11"/>
        <color theme="1"/>
        <rFont val="Calibri"/>
        <family val="2"/>
        <scheme val="minor"/>
      </rPr>
      <t>Masteroppgave</t>
    </r>
    <r>
      <rPr>
        <sz val="11"/>
        <color theme="1"/>
        <rFont val="Calibri"/>
        <family val="2"/>
        <scheme val="minor"/>
      </rPr>
      <t>: (15-20 timer * Antall oppgaver) + antall studiepoeng</t>
    </r>
  </si>
  <si>
    <t>Alternativ 1</t>
  </si>
  <si>
    <t>Alternativ 2</t>
  </si>
  <si>
    <t>Antall grupper/stud</t>
  </si>
  <si>
    <t>Generell grunnressurs:</t>
  </si>
  <si>
    <t xml:space="preserve">   (4.5) Sakkyndig utvalg og bedømmelseskomite ph.d</t>
  </si>
  <si>
    <t xml:space="preserve">   (4.6) Kjøring mellom studiesteder</t>
  </si>
  <si>
    <t>Antall uker</t>
  </si>
  <si>
    <t>timer per uke</t>
  </si>
  <si>
    <t>Anall timer per uke per student</t>
  </si>
  <si>
    <t>Simulering - arbeidsplanmodell (algoritmer)</t>
  </si>
  <si>
    <t>Eksempler</t>
  </si>
  <si>
    <t>(1) Læringsaktiviteter</t>
  </si>
  <si>
    <t>Generell grunnressurs</t>
  </si>
  <si>
    <t>Emneansvar:</t>
  </si>
  <si>
    <t>Sats per studiepoeng</t>
  </si>
  <si>
    <t>sats * antall studiepoeng</t>
  </si>
  <si>
    <t>arbeidstimer pr. forelesningstime</t>
  </si>
  <si>
    <t>Vanlig "faktor" undervisning</t>
  </si>
  <si>
    <t>15 - 20 timer per oppgave + antall studiepoeng</t>
  </si>
  <si>
    <t>Veiledning Bacheloroppgave</t>
  </si>
  <si>
    <t>Veiledning Masteroppgave</t>
  </si>
  <si>
    <t>Sensur/evaluering:</t>
  </si>
  <si>
    <t xml:space="preserve">    Skriftlig "skoleeksamen"</t>
  </si>
  <si>
    <t xml:space="preserve">    Bachelor- og masteroppgaver</t>
  </si>
  <si>
    <t>Antall timer</t>
  </si>
  <si>
    <t>For 3-4 timers eksamen gis 45 minutter per oppgave</t>
  </si>
  <si>
    <t>For 5-6 timers eksamen gis 60 min. per oppgave</t>
  </si>
  <si>
    <t>Veiledning:</t>
  </si>
  <si>
    <t xml:space="preserve">    Grunnressurs</t>
  </si>
  <si>
    <t xml:space="preserve">    Hjemmeeksamen</t>
  </si>
  <si>
    <t>Ordinære emner (forelesningsbaserte):</t>
  </si>
  <si>
    <t xml:space="preserve">    Tilleggsressurs 1</t>
  </si>
  <si>
    <t xml:space="preserve">    Tilleggsressurs 2</t>
  </si>
  <si>
    <t xml:space="preserve">    Tilleggsressurs 3</t>
  </si>
  <si>
    <r>
      <t xml:space="preserve">Bacheloroppgave inntil 10 sp: </t>
    </r>
    <r>
      <rPr>
        <b/>
        <sz val="10"/>
        <color rgb="FF002060"/>
        <rFont val="Calibri"/>
        <family val="2"/>
        <scheme val="minor"/>
      </rPr>
      <t>1 time</t>
    </r>
  </si>
  <si>
    <r>
      <t xml:space="preserve">Bacheloroppgave over 10 sp: </t>
    </r>
    <r>
      <rPr>
        <b/>
        <sz val="10"/>
        <color rgb="FF002060"/>
        <rFont val="Calibri"/>
        <family val="2"/>
        <scheme val="minor"/>
      </rPr>
      <t>1,5 timer</t>
    </r>
  </si>
  <si>
    <r>
      <t xml:space="preserve">Masteroppgave 30 sp: </t>
    </r>
    <r>
      <rPr>
        <b/>
        <sz val="10"/>
        <color rgb="FF002060"/>
        <rFont val="Calibri"/>
        <family val="2"/>
        <scheme val="minor"/>
      </rPr>
      <t>10 timer</t>
    </r>
  </si>
  <si>
    <r>
      <t xml:space="preserve">Masteroppgave over 30 sp: </t>
    </r>
    <r>
      <rPr>
        <b/>
        <sz val="10"/>
        <color rgb="FF002060"/>
        <rFont val="Calibri"/>
        <family val="2"/>
        <scheme val="minor"/>
      </rPr>
      <t>12 timer</t>
    </r>
  </si>
  <si>
    <t>timer per gjennomføring</t>
  </si>
  <si>
    <t xml:space="preserve">    Muntlig eksamen</t>
  </si>
  <si>
    <t>Praksis- og laboratorieveiledning inkl simuleringssenter:</t>
  </si>
  <si>
    <t>Fast grunnressurs</t>
  </si>
  <si>
    <t xml:space="preserve"> + Tilleggsressurs per student er 15 stp</t>
  </si>
  <si>
    <t xml:space="preserve"> + Tilleggsressurs per student er 30 stp</t>
  </si>
  <si>
    <t xml:space="preserve"> + Tilleggsressurs per student per studieår</t>
  </si>
  <si>
    <t xml:space="preserve">     + evt. tilleggsressurs</t>
  </si>
  <si>
    <t>timer</t>
  </si>
  <si>
    <r>
      <rPr>
        <b/>
        <sz val="11"/>
        <color theme="1"/>
        <rFont val="Calibri"/>
        <family val="2"/>
        <scheme val="minor"/>
      </rPr>
      <t xml:space="preserve">Formel: </t>
    </r>
    <r>
      <rPr>
        <sz val="11"/>
        <color theme="1"/>
        <rFont val="Calibri"/>
        <family val="2"/>
        <scheme val="minor"/>
      </rPr>
      <t>8 timer fast ressurs + 2 timer per student per 15 studiepoeng</t>
    </r>
  </si>
  <si>
    <r>
      <rPr>
        <b/>
        <sz val="11"/>
        <color theme="1"/>
        <rFont val="Calibri"/>
        <family val="2"/>
        <scheme val="minor"/>
      </rPr>
      <t>Alternativ formel:</t>
    </r>
    <r>
      <rPr>
        <sz val="11"/>
        <color theme="1"/>
        <rFont val="Calibri"/>
        <family val="2"/>
        <scheme val="minor"/>
      </rPr>
      <t xml:space="preserve"> 10 timer fast ressurs + 8 timer pr. student pr. studieår</t>
    </r>
  </si>
  <si>
    <r>
      <rPr>
        <b/>
        <sz val="11"/>
        <color theme="1"/>
        <rFont val="Calibri"/>
        <family val="2"/>
        <scheme val="minor"/>
      </rPr>
      <t>Formell:</t>
    </r>
    <r>
      <rPr>
        <sz val="11"/>
        <color theme="1"/>
        <rFont val="Calibri"/>
        <family val="2"/>
        <scheme val="minor"/>
      </rPr>
      <t xml:space="preserve"> Antall studenter * antall uker * 1,5 timer</t>
    </r>
  </si>
  <si>
    <t xml:space="preserve">     Fast grunnressurs</t>
  </si>
  <si>
    <t>Type stilling</t>
  </si>
  <si>
    <t>1-3 søkere</t>
  </si>
  <si>
    <t>4-7 søkere</t>
  </si>
  <si>
    <t>8-15 søkere</t>
  </si>
  <si>
    <t>Stipendiat/universitetslektor</t>
  </si>
  <si>
    <t>Førstestilling/post.doc.</t>
  </si>
  <si>
    <t>Professor/dosent</t>
  </si>
  <si>
    <t>Sakkyndig utvalg og bedømmelseskomite ph.d:</t>
  </si>
  <si>
    <r>
      <rPr>
        <b/>
        <sz val="11"/>
        <color theme="1"/>
        <rFont val="Calibri"/>
        <family val="2"/>
        <scheme val="minor"/>
      </rPr>
      <t>Organiserte timer til student:</t>
    </r>
    <r>
      <rPr>
        <sz val="11"/>
        <color theme="1"/>
        <rFont val="Calibri"/>
        <family val="2"/>
        <scheme val="minor"/>
      </rPr>
      <t xml:space="preserve"> 14 timer + (stp * sats 4)</t>
    </r>
  </si>
  <si>
    <r>
      <rPr>
        <b/>
        <sz val="11"/>
        <rFont val="Calibri"/>
        <family val="2"/>
        <scheme val="minor"/>
      </rPr>
      <t>Sensur:</t>
    </r>
    <r>
      <rPr>
        <sz val="11"/>
        <rFont val="Calibri"/>
        <family val="2"/>
        <scheme val="minor"/>
      </rPr>
      <t xml:space="preserve"> Se tabell i retningslinjen</t>
    </r>
  </si>
  <si>
    <r>
      <rPr>
        <b/>
        <sz val="11"/>
        <rFont val="Calibri"/>
        <family val="2"/>
        <scheme val="minor"/>
      </rPr>
      <t>Praksis Alt 2:</t>
    </r>
    <r>
      <rPr>
        <sz val="11"/>
        <rFont val="Calibri"/>
        <family val="2"/>
        <scheme val="minor"/>
      </rPr>
      <t xml:space="preserve"> Antall studenter x antall uker x 1,5 time</t>
    </r>
  </si>
  <si>
    <t>5 - 10 timer per oppgave + antall studiepoeng</t>
  </si>
  <si>
    <t>Antall uker/oppg.</t>
  </si>
  <si>
    <t>Tildelte 
timer *)</t>
  </si>
  <si>
    <t>*) Denne kolonnen skal visse hvor mye som tildeles til den enkelte fagperson.</t>
  </si>
  <si>
    <t>Oppgaver</t>
  </si>
  <si>
    <t>Emne 5 - praksis - Læringsutdanningene</t>
  </si>
  <si>
    <t>Emne 6 - praksis  - Helse og sosialutdanningene</t>
  </si>
  <si>
    <t>I punkt (1) beregnes det totale ressursbehov for emnet, og tallene som framkommer i kolonne B - I gjelder samlet for læringsaktiviteter til emnet.</t>
  </si>
  <si>
    <t>Andel av den totale ressursen tildeles ved å mulitplisere med personens andel deltagelse i emnet.</t>
  </si>
  <si>
    <t>(4.2) Emneansvar</t>
  </si>
  <si>
    <r>
      <rPr>
        <b/>
        <sz val="11"/>
        <rFont val="Calibri"/>
        <family val="2"/>
        <scheme val="minor"/>
      </rPr>
      <t xml:space="preserve">Emneansvar: </t>
    </r>
    <r>
      <rPr>
        <sz val="11"/>
        <rFont val="Calibri"/>
        <family val="2"/>
        <scheme val="minor"/>
      </rPr>
      <t>20 timer + studiepoeng + studenter x 0,5</t>
    </r>
  </si>
  <si>
    <t>stp</t>
  </si>
  <si>
    <t>antall studenter</t>
  </si>
  <si>
    <t>**)</t>
  </si>
  <si>
    <t>**) Antall uker eller oppgaver for beregning av sensur eller praksis</t>
  </si>
  <si>
    <t>Emne 2 (50% av emnet)</t>
  </si>
  <si>
    <t>Kolonne J skal vise andel timer av den totale ressursen som tildeles til den enkelte fagperson. Dette demonstreres i emne 2 dersom to personer deler ressursen likt.</t>
  </si>
  <si>
    <t>Ansattnr 3000186</t>
  </si>
  <si>
    <t>Antall uker/oppg</t>
  </si>
  <si>
    <t>Antall studenter</t>
  </si>
  <si>
    <t>Ansattnr 3000584</t>
  </si>
  <si>
    <r>
      <rPr>
        <b/>
        <sz val="11"/>
        <color theme="0" tint="-0.499984740745262"/>
        <rFont val="Calibri"/>
        <family val="2"/>
        <scheme val="minor"/>
      </rPr>
      <t xml:space="preserve">Praksis Alt 1: </t>
    </r>
    <r>
      <rPr>
        <sz val="11"/>
        <color theme="0" tint="-0.499984740745262"/>
        <rFont val="Calibri"/>
        <family val="2"/>
        <scheme val="minor"/>
      </rPr>
      <t>8 timer fast + 2 timer per student per 15 stp</t>
    </r>
  </si>
  <si>
    <t>Simulering arbeidsplan   - TNM</t>
  </si>
  <si>
    <t>Simulering arbeidsplan  - HS</t>
  </si>
  <si>
    <t>Simulering arbeidsplan  - HIU</t>
  </si>
  <si>
    <t>Ansattnr 6009996</t>
  </si>
  <si>
    <t>MOB3000 - Applikasjonsutvikling for mobile enheter</t>
  </si>
  <si>
    <t>BOP3000 - Bacheloroppgave i IT og informasjonsstemer</t>
  </si>
  <si>
    <t>MIS401 - Emerging Trens in Information Systems</t>
  </si>
  <si>
    <t>MIS500 - Master Thesis Management Information systems</t>
  </si>
  <si>
    <t>PRO1000 - Praktisk prosjektarbeid</t>
  </si>
  <si>
    <t>forelesningstimer (mellom 8 og 14)</t>
  </si>
  <si>
    <t>Faglig oppdatering:</t>
  </si>
  <si>
    <t>Kontaktlærer for praksisveiledning:</t>
  </si>
  <si>
    <r>
      <rPr>
        <b/>
        <sz val="11"/>
        <color theme="1"/>
        <rFont val="Calibri"/>
        <family val="2"/>
        <scheme val="minor"/>
      </rPr>
      <t xml:space="preserve">Formel: </t>
    </r>
    <r>
      <rPr>
        <sz val="11"/>
        <color theme="1"/>
        <rFont val="Calibri"/>
        <family val="2"/>
        <scheme val="minor"/>
      </rPr>
      <t>7,5 timer * Antall studenter (for praksisstudier av 2-10 ukers varighet)</t>
    </r>
  </si>
  <si>
    <t>HS - Laboratorie og simuleringssenter:</t>
  </si>
  <si>
    <t>TNM - Laboratorie og treningssimulator:</t>
  </si>
  <si>
    <t>Spesielt strenge kvalitetskrav/stort veiledningsbehov - faktor</t>
  </si>
  <si>
    <t>Gjentagende øvelser - første gruppe</t>
  </si>
  <si>
    <t>Gjentagende øvelser - andre gruppe</t>
  </si>
  <si>
    <t>Ordinær ressurs</t>
  </si>
  <si>
    <t>Gjentagende øvelser</t>
  </si>
  <si>
    <t>evt. Faktor 2 avhengig av mengden for- og etterarbeid</t>
  </si>
  <si>
    <r>
      <rPr>
        <b/>
        <sz val="11"/>
        <color theme="1"/>
        <rFont val="Calibri"/>
        <family val="2"/>
        <scheme val="minor"/>
      </rPr>
      <t>Formel:</t>
    </r>
    <r>
      <rPr>
        <sz val="11"/>
        <color theme="1"/>
        <rFont val="Calibri"/>
        <family val="2"/>
        <scheme val="minor"/>
      </rPr>
      <t xml:space="preserve"> 20 timer + Studiepoeng + Anall studenter * (en faktor i invervallet 0,5 - 2)</t>
    </r>
  </si>
  <si>
    <t>faktor per student</t>
  </si>
  <si>
    <t>alternativ faktor per student</t>
  </si>
  <si>
    <t>Brukt faktor 1 i formelen:</t>
  </si>
  <si>
    <t>(20 timer + Stp + Anall studenter * 1,0)</t>
  </si>
  <si>
    <t>Praksis  - Helse og sosialutdanningene</t>
  </si>
  <si>
    <t>Praksis - Kontaktlærer for praksisveiledning</t>
  </si>
  <si>
    <t>Praksis - Læringsutdanningene</t>
  </si>
  <si>
    <t>Lab/sim - TNM</t>
  </si>
  <si>
    <t>Lærerutdanningene - praksis:</t>
  </si>
  <si>
    <t>Helse- og sosialutdanningene - praksis:</t>
  </si>
  <si>
    <t>HS - Laboratorie og simuleringssenter</t>
  </si>
  <si>
    <t>2-10</t>
  </si>
  <si>
    <t>Praksis - Lærerutdanningene</t>
  </si>
  <si>
    <t>TNM - Laboratorie og simuleringssenter</t>
  </si>
  <si>
    <r>
      <rPr>
        <b/>
        <sz val="11"/>
        <color theme="1"/>
        <rFont val="Calibri"/>
        <family val="2"/>
        <scheme val="minor"/>
      </rPr>
      <t xml:space="preserve">Formell: </t>
    </r>
    <r>
      <rPr>
        <sz val="11"/>
        <color theme="1"/>
        <rFont val="Calibri"/>
        <family val="2"/>
        <scheme val="minor"/>
      </rPr>
      <t>Antall studenter * antall uker * 1,5 timer</t>
    </r>
  </si>
  <si>
    <r>
      <rPr>
        <b/>
        <sz val="11"/>
        <color theme="1"/>
        <rFont val="Calibri"/>
        <family val="2"/>
        <scheme val="minor"/>
      </rPr>
      <t>Formel:</t>
    </r>
    <r>
      <rPr>
        <sz val="11"/>
        <color theme="1"/>
        <rFont val="Calibri"/>
        <family val="2"/>
        <scheme val="minor"/>
      </rPr>
      <t xml:space="preserve"> Faktor 2 pr timeplanfestet tid til lab.undervsining</t>
    </r>
  </si>
  <si>
    <r>
      <rPr>
        <b/>
        <sz val="11"/>
        <color theme="1"/>
        <rFont val="Calibri"/>
        <family val="2"/>
        <scheme val="minor"/>
      </rPr>
      <t>Formel:</t>
    </r>
    <r>
      <rPr>
        <sz val="11"/>
        <color theme="1"/>
        <rFont val="Calibri"/>
        <family val="2"/>
        <scheme val="minor"/>
      </rPr>
      <t xml:space="preserve"> Faktor 2 pr timeplanfestet tid til laboratorier eller simuleringssentre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</si>
</sst>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\ %"/>
    <numFmt numFmtId="166" formatCode="0.0"/>
    <numFmt numFmtId="167" formatCode="_ * #,##0.0_ ;_ * \-#,##0.0_ ;_ * &quot;-&quot;??_ ;_ @_ "/>
    <numFmt numFmtId="168" formatCode="_ * #,##0_ ;_ * \-#,##0_ ;_ * &quot;-&quot;??_ ;_ @_ "/>
  </numFmts>
  <fonts count="7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Symbol"/>
      <family val="2"/>
      <charset val="2"/>
    </font>
    <font>
      <sz val="9"/>
      <color theme="1"/>
      <name val="Wingdings"/>
      <charset val="2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164" fontId="6" fillId="0" borderId="0" applyFont="0" applyFill="0" applyBorder="0" applyAlignment="0" applyProtection="0"/>
    <xf numFmtId="0" fontId="8" fillId="0" borderId="11" applyNumberFormat="0" applyFill="0" applyAlignment="0" applyProtection="0"/>
    <xf numFmtId="9" fontId="6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4" xfId="0" applyFont="1" applyBorder="1"/>
    <xf numFmtId="0" fontId="0" fillId="0" borderId="3" xfId="0" applyFont="1" applyBorder="1"/>
    <xf numFmtId="1" fontId="0" fillId="0" borderId="0" xfId="0" applyNumberFormat="1" applyFont="1"/>
    <xf numFmtId="0" fontId="3" fillId="4" borderId="3" xfId="0" applyFont="1" applyFill="1" applyBorder="1"/>
    <xf numFmtId="0" fontId="0" fillId="4" borderId="3" xfId="0" applyFont="1" applyFill="1" applyBorder="1"/>
    <xf numFmtId="0" fontId="0" fillId="5" borderId="3" xfId="0" applyFont="1" applyFill="1" applyBorder="1"/>
    <xf numFmtId="0" fontId="0" fillId="5" borderId="6" xfId="0" applyFont="1" applyFill="1" applyBorder="1"/>
    <xf numFmtId="2" fontId="0" fillId="4" borderId="4" xfId="0" applyNumberFormat="1" applyFont="1" applyFill="1" applyBorder="1"/>
    <xf numFmtId="2" fontId="0" fillId="4" borderId="5" xfId="0" applyNumberFormat="1" applyFont="1" applyFill="1" applyBorder="1"/>
    <xf numFmtId="0" fontId="0" fillId="5" borderId="0" xfId="0" applyFont="1" applyFill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/>
    <xf numFmtId="0" fontId="2" fillId="0" borderId="0" xfId="0" applyFont="1" applyFill="1" applyBorder="1"/>
    <xf numFmtId="165" fontId="0" fillId="3" borderId="0" xfId="0" applyNumberFormat="1" applyFill="1"/>
    <xf numFmtId="9" fontId="0" fillId="3" borderId="0" xfId="0" applyNumberFormat="1" applyFill="1"/>
    <xf numFmtId="1" fontId="10" fillId="0" borderId="0" xfId="0" applyNumberFormat="1" applyFon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/>
    <xf numFmtId="165" fontId="0" fillId="0" borderId="0" xfId="0" applyNumberFormat="1" applyFill="1"/>
    <xf numFmtId="9" fontId="0" fillId="0" borderId="0" xfId="0" applyNumberFormat="1" applyFill="1"/>
    <xf numFmtId="9" fontId="0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/>
    <xf numFmtId="164" fontId="0" fillId="0" borderId="0" xfId="2" applyFont="1" applyFill="1"/>
    <xf numFmtId="0" fontId="0" fillId="0" borderId="0" xfId="0" applyFont="1" applyFill="1" applyBorder="1" applyAlignment="1">
      <alignment horizontal="center"/>
    </xf>
    <xf numFmtId="0" fontId="8" fillId="0" borderId="11" xfId="3" applyFill="1"/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13" fillId="7" borderId="0" xfId="0" applyFont="1" applyFill="1"/>
    <xf numFmtId="0" fontId="12" fillId="7" borderId="0" xfId="0" applyFont="1" applyFill="1"/>
    <xf numFmtId="0" fontId="12" fillId="0" borderId="0" xfId="0" applyFont="1" applyFill="1"/>
    <xf numFmtId="0" fontId="13" fillId="8" borderId="0" xfId="0" applyFont="1" applyFill="1"/>
    <xf numFmtId="0" fontId="12" fillId="8" borderId="0" xfId="0" applyFont="1" applyFill="1"/>
    <xf numFmtId="167" fontId="12" fillId="7" borderId="0" xfId="2" applyNumberFormat="1" applyFont="1" applyFill="1"/>
    <xf numFmtId="167" fontId="12" fillId="0" borderId="0" xfId="2" applyNumberFormat="1" applyFont="1" applyFill="1"/>
    <xf numFmtId="167" fontId="12" fillId="8" borderId="0" xfId="2" applyNumberFormat="1" applyFont="1" applyFill="1"/>
    <xf numFmtId="0" fontId="14" fillId="0" borderId="11" xfId="3" applyFont="1" applyFill="1" applyBorder="1"/>
    <xf numFmtId="0" fontId="14" fillId="0" borderId="11" xfId="3" applyFont="1" applyFill="1"/>
    <xf numFmtId="1" fontId="10" fillId="0" borderId="0" xfId="0" applyNumberFormat="1" applyFont="1" applyFill="1"/>
    <xf numFmtId="0" fontId="19" fillId="0" borderId="0" xfId="0" applyFont="1" applyFill="1"/>
    <xf numFmtId="0" fontId="17" fillId="0" borderId="0" xfId="0" applyFont="1" applyFill="1"/>
    <xf numFmtId="0" fontId="16" fillId="0" borderId="0" xfId="0" applyFont="1" applyFill="1"/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Alignment="1">
      <alignment horizontal="center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 wrapText="1"/>
    </xf>
    <xf numFmtId="0" fontId="0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Fill="1"/>
    <xf numFmtId="0" fontId="21" fillId="0" borderId="0" xfId="0" applyFont="1" applyFill="1"/>
    <xf numFmtId="0" fontId="22" fillId="0" borderId="0" xfId="0" applyFont="1" applyFill="1"/>
    <xf numFmtId="1" fontId="23" fillId="0" borderId="0" xfId="0" applyNumberFormat="1" applyFont="1" applyFill="1"/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19" fillId="9" borderId="0" xfId="0" applyFont="1" applyFill="1"/>
    <xf numFmtId="0" fontId="16" fillId="9" borderId="0" xfId="0" applyFont="1" applyFill="1" applyAlignment="1">
      <alignment wrapText="1"/>
    </xf>
    <xf numFmtId="0" fontId="18" fillId="9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0" fillId="0" borderId="0" xfId="0" applyNumberFormat="1" applyFont="1" applyFill="1"/>
    <xf numFmtId="0" fontId="10" fillId="0" borderId="0" xfId="0" applyFont="1" applyFill="1"/>
    <xf numFmtId="9" fontId="10" fillId="0" borderId="0" xfId="0" applyNumberFormat="1" applyFont="1" applyFill="1"/>
    <xf numFmtId="1" fontId="25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Border="1"/>
    <xf numFmtId="1" fontId="26" fillId="0" borderId="10" xfId="0" applyNumberFormat="1" applyFont="1" applyFill="1" applyBorder="1"/>
    <xf numFmtId="0" fontId="27" fillId="0" borderId="0" xfId="0" applyFont="1" applyFill="1"/>
    <xf numFmtId="1" fontId="1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1" fontId="23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1" fontId="24" fillId="0" borderId="0" xfId="0" applyNumberFormat="1" applyFont="1" applyFill="1"/>
    <xf numFmtId="167" fontId="23" fillId="0" borderId="0" xfId="2" applyNumberFormat="1" applyFont="1" applyFill="1"/>
    <xf numFmtId="166" fontId="23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 indent="1"/>
    </xf>
    <xf numFmtId="9" fontId="20" fillId="0" borderId="0" xfId="0" applyNumberFormat="1" applyFont="1" applyFill="1"/>
    <xf numFmtId="0" fontId="20" fillId="0" borderId="0" xfId="0" applyFont="1" applyFill="1"/>
    <xf numFmtId="1" fontId="20" fillId="0" borderId="0" xfId="0" applyNumberFormat="1" applyFont="1" applyFill="1"/>
    <xf numFmtId="1" fontId="20" fillId="0" borderId="0" xfId="0" applyNumberFormat="1" applyFont="1" applyFill="1" applyAlignment="1">
      <alignment horizontal="center"/>
    </xf>
    <xf numFmtId="0" fontId="20" fillId="0" borderId="10" xfId="0" applyFont="1" applyBorder="1"/>
    <xf numFmtId="0" fontId="20" fillId="0" borderId="10" xfId="0" applyFont="1" applyFill="1" applyBorder="1"/>
    <xf numFmtId="1" fontId="20" fillId="0" borderId="10" xfId="0" applyNumberFormat="1" applyFont="1" applyFill="1" applyBorder="1"/>
    <xf numFmtId="0" fontId="30" fillId="0" borderId="0" xfId="0" applyFont="1" applyFill="1"/>
    <xf numFmtId="0" fontId="31" fillId="0" borderId="0" xfId="0" applyFont="1" applyFill="1"/>
    <xf numFmtId="0" fontId="10" fillId="0" borderId="0" xfId="0" quotePrefix="1" applyFont="1" applyFill="1"/>
    <xf numFmtId="1" fontId="25" fillId="0" borderId="0" xfId="0" applyNumberFormat="1" applyFont="1" applyFill="1" applyAlignment="1">
      <alignment horizontal="center"/>
    </xf>
    <xf numFmtId="0" fontId="25" fillId="0" borderId="0" xfId="0" applyFont="1" applyFill="1"/>
    <xf numFmtId="1" fontId="25" fillId="0" borderId="10" xfId="0" applyNumberFormat="1" applyFont="1" applyFill="1" applyBorder="1"/>
    <xf numFmtId="1" fontId="31" fillId="0" borderId="0" xfId="0" applyNumberFormat="1" applyFont="1" applyFill="1"/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66" fontId="30" fillId="0" borderId="0" xfId="0" applyNumberFormat="1" applyFont="1" applyFill="1"/>
    <xf numFmtId="166" fontId="10" fillId="0" borderId="0" xfId="0" applyNumberFormat="1" applyFont="1" applyFill="1" applyAlignment="1">
      <alignment horizontal="center"/>
    </xf>
    <xf numFmtId="1" fontId="31" fillId="0" borderId="0" xfId="0" applyNumberFormat="1" applyFont="1" applyFill="1" applyAlignment="1">
      <alignment horizontal="center"/>
    </xf>
    <xf numFmtId="1" fontId="31" fillId="0" borderId="0" xfId="0" applyNumberFormat="1" applyFont="1" applyFill="1" applyBorder="1"/>
    <xf numFmtId="0" fontId="33" fillId="6" borderId="0" xfId="0" applyFont="1" applyFill="1" applyBorder="1" applyAlignment="1">
      <alignment horizontal="center" vertical="center" wrapText="1"/>
    </xf>
    <xf numFmtId="1" fontId="34" fillId="0" borderId="0" xfId="0" applyNumberFormat="1" applyFont="1" applyFill="1"/>
    <xf numFmtId="0" fontId="33" fillId="9" borderId="0" xfId="0" applyFont="1" applyFill="1" applyBorder="1" applyAlignment="1">
      <alignment horizontal="center" vertical="center"/>
    </xf>
    <xf numFmtId="0" fontId="33" fillId="9" borderId="0" xfId="0" applyFont="1" applyFill="1"/>
    <xf numFmtId="0" fontId="36" fillId="6" borderId="0" xfId="0" applyFont="1" applyFill="1" applyBorder="1" applyAlignment="1">
      <alignment horizontal="center" vertical="center"/>
    </xf>
    <xf numFmtId="1" fontId="11" fillId="0" borderId="0" xfId="0" applyNumberFormat="1" applyFont="1" applyFill="1"/>
    <xf numFmtId="1" fontId="28" fillId="0" borderId="0" xfId="0" applyNumberFormat="1" applyFont="1" applyFill="1" applyBorder="1"/>
    <xf numFmtId="0" fontId="11" fillId="6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/>
    <xf numFmtId="0" fontId="33" fillId="0" borderId="0" xfId="0" applyFont="1" applyFill="1"/>
    <xf numFmtId="0" fontId="19" fillId="11" borderId="0" xfId="0" applyFont="1" applyFill="1"/>
    <xf numFmtId="0" fontId="20" fillId="0" borderId="0" xfId="0" applyFont="1" applyFill="1" applyAlignment="1">
      <alignment horizontal="left" indent="1"/>
    </xf>
    <xf numFmtId="0" fontId="35" fillId="0" borderId="0" xfId="0" applyFont="1" applyFill="1"/>
    <xf numFmtId="1" fontId="31" fillId="0" borderId="10" xfId="0" applyNumberFormat="1" applyFont="1" applyFill="1" applyBorder="1"/>
    <xf numFmtId="166" fontId="25" fillId="0" borderId="0" xfId="0" applyNumberFormat="1" applyFont="1" applyFill="1" applyAlignment="1">
      <alignment horizontal="center"/>
    </xf>
    <xf numFmtId="165" fontId="32" fillId="0" borderId="0" xfId="4" applyNumberFormat="1" applyFont="1" applyFill="1"/>
    <xf numFmtId="0" fontId="37" fillId="11" borderId="0" xfId="0" applyFont="1" applyFill="1"/>
    <xf numFmtId="0" fontId="15" fillId="11" borderId="0" xfId="0" applyFont="1" applyFill="1"/>
    <xf numFmtId="168" fontId="30" fillId="0" borderId="0" xfId="2" applyNumberFormat="1" applyFont="1" applyFill="1"/>
    <xf numFmtId="1" fontId="32" fillId="0" borderId="0" xfId="0" applyNumberFormat="1" applyFont="1" applyFill="1"/>
    <xf numFmtId="168" fontId="27" fillId="0" borderId="0" xfId="2" applyNumberFormat="1" applyFont="1" applyFill="1"/>
    <xf numFmtId="168" fontId="10" fillId="0" borderId="0" xfId="2" applyNumberFormat="1" applyFont="1" applyFill="1"/>
    <xf numFmtId="0" fontId="31" fillId="0" borderId="10" xfId="0" applyFont="1" applyBorder="1"/>
    <xf numFmtId="0" fontId="31" fillId="0" borderId="10" xfId="0" applyFont="1" applyFill="1" applyBorder="1"/>
    <xf numFmtId="0" fontId="10" fillId="0" borderId="0" xfId="0" quotePrefix="1" applyFont="1" applyFill="1" applyBorder="1"/>
    <xf numFmtId="0" fontId="4" fillId="11" borderId="0" xfId="0" applyFont="1" applyFill="1"/>
    <xf numFmtId="0" fontId="38" fillId="0" borderId="0" xfId="0" applyFont="1" applyFill="1"/>
    <xf numFmtId="1" fontId="38" fillId="0" borderId="0" xfId="0" applyNumberFormat="1" applyFont="1" applyFill="1"/>
    <xf numFmtId="0" fontId="33" fillId="11" borderId="0" xfId="0" applyFont="1" applyFill="1"/>
    <xf numFmtId="9" fontId="38" fillId="0" borderId="0" xfId="4" applyFont="1" applyFill="1"/>
    <xf numFmtId="9" fontId="38" fillId="3" borderId="0" xfId="4" applyFont="1" applyFill="1"/>
    <xf numFmtId="166" fontId="11" fillId="0" borderId="0" xfId="0" applyNumberFormat="1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indent="1"/>
    </xf>
    <xf numFmtId="9" fontId="25" fillId="0" borderId="0" xfId="0" applyNumberFormat="1" applyFont="1" applyFill="1"/>
    <xf numFmtId="0" fontId="41" fillId="0" borderId="0" xfId="0" applyFont="1" applyFill="1"/>
    <xf numFmtId="0" fontId="42" fillId="0" borderId="0" xfId="0" applyFont="1" applyFill="1"/>
    <xf numFmtId="1" fontId="39" fillId="0" borderId="0" xfId="0" applyNumberFormat="1" applyFont="1" applyFill="1" applyAlignment="1">
      <alignment horizontal="left"/>
    </xf>
    <xf numFmtId="1" fontId="37" fillId="0" borderId="0" xfId="0" applyNumberFormat="1" applyFont="1" applyFill="1" applyAlignment="1">
      <alignment horizontal="center"/>
    </xf>
    <xf numFmtId="0" fontId="43" fillId="0" borderId="0" xfId="0" applyFont="1"/>
    <xf numFmtId="0" fontId="45" fillId="0" borderId="0" xfId="0" applyFont="1"/>
    <xf numFmtId="1" fontId="46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right"/>
    </xf>
    <xf numFmtId="0" fontId="0" fillId="0" borderId="0" xfId="0" applyFont="1" applyFill="1" applyAlignment="1"/>
    <xf numFmtId="0" fontId="19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39" fillId="0" borderId="0" xfId="0" applyFont="1" applyFill="1"/>
    <xf numFmtId="1" fontId="39" fillId="0" borderId="0" xfId="0" applyNumberFormat="1" applyFont="1" applyFill="1" applyAlignment="1">
      <alignment horizontal="center"/>
    </xf>
    <xf numFmtId="1" fontId="39" fillId="0" borderId="0" xfId="0" applyNumberFormat="1" applyFont="1" applyFill="1" applyAlignment="1"/>
    <xf numFmtId="0" fontId="40" fillId="0" borderId="0" xfId="0" applyFont="1" applyFill="1"/>
    <xf numFmtId="9" fontId="31" fillId="0" borderId="0" xfId="4" applyFont="1" applyFill="1"/>
    <xf numFmtId="0" fontId="39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6" fontId="31" fillId="0" borderId="0" xfId="0" applyNumberFormat="1" applyFont="1" applyFill="1" applyAlignment="1">
      <alignment horizontal="center"/>
    </xf>
    <xf numFmtId="0" fontId="32" fillId="12" borderId="0" xfId="0" applyFont="1" applyFill="1" applyAlignment="1">
      <alignment horizontal="center"/>
    </xf>
    <xf numFmtId="1" fontId="46" fillId="0" borderId="0" xfId="0" applyNumberFormat="1" applyFont="1" applyFill="1"/>
    <xf numFmtId="0" fontId="46" fillId="0" borderId="0" xfId="0" applyFont="1" applyFill="1"/>
    <xf numFmtId="0" fontId="51" fillId="0" borderId="0" xfId="0" applyFont="1" applyFill="1"/>
    <xf numFmtId="0" fontId="15" fillId="0" borderId="0" xfId="0" applyFont="1" applyFill="1" applyAlignment="1">
      <alignment horizontal="left" indent="1"/>
    </xf>
    <xf numFmtId="0" fontId="2" fillId="2" borderId="7" xfId="1" applyFont="1" applyBorder="1" applyAlignment="1">
      <alignment horizontal="center"/>
    </xf>
    <xf numFmtId="0" fontId="0" fillId="5" borderId="1" xfId="0" applyFont="1" applyFill="1" applyBorder="1"/>
    <xf numFmtId="0" fontId="2" fillId="5" borderId="8" xfId="0" applyFont="1" applyFill="1" applyBorder="1"/>
    <xf numFmtId="0" fontId="0" fillId="5" borderId="8" xfId="0" applyFont="1" applyFill="1" applyBorder="1" applyAlignment="1">
      <alignment horizontal="center"/>
    </xf>
    <xf numFmtId="0" fontId="5" fillId="2" borderId="2" xfId="1" applyFont="1" applyBorder="1" applyAlignment="1">
      <alignment horizontal="center"/>
    </xf>
    <xf numFmtId="0" fontId="50" fillId="0" borderId="0" xfId="0" applyFont="1" applyBorder="1"/>
    <xf numFmtId="0" fontId="15" fillId="0" borderId="0" xfId="0" applyFont="1" applyBorder="1"/>
    <xf numFmtId="0" fontId="15" fillId="0" borderId="0" xfId="0" applyFont="1"/>
    <xf numFmtId="0" fontId="5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1" fillId="0" borderId="0" xfId="0" applyFont="1" applyFill="1" applyAlignment="1"/>
    <xf numFmtId="0" fontId="19" fillId="0" borderId="0" xfId="0" applyFont="1" applyFill="1" applyAlignment="1"/>
    <xf numFmtId="0" fontId="27" fillId="0" borderId="0" xfId="0" applyFont="1" applyFill="1" applyAlignment="1"/>
    <xf numFmtId="0" fontId="0" fillId="0" borderId="0" xfId="0" applyFont="1" applyAlignment="1">
      <alignment wrapText="1"/>
    </xf>
    <xf numFmtId="0" fontId="33" fillId="0" borderId="0" xfId="0" applyFont="1" applyFill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168" fontId="26" fillId="0" borderId="0" xfId="2" applyNumberFormat="1" applyFont="1" applyFill="1" applyBorder="1"/>
    <xf numFmtId="0" fontId="55" fillId="0" borderId="0" xfId="0" applyFont="1" applyAlignment="1">
      <alignment vertical="top" wrapText="1"/>
    </xf>
    <xf numFmtId="0" fontId="55" fillId="5" borderId="1" xfId="0" applyFont="1" applyFill="1" applyBorder="1" applyAlignment="1">
      <alignment vertical="top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/>
    <xf numFmtId="0" fontId="58" fillId="0" borderId="0" xfId="0" applyFont="1" applyFill="1" applyAlignment="1"/>
    <xf numFmtId="0" fontId="47" fillId="5" borderId="2" xfId="0" applyFont="1" applyFill="1" applyBorder="1" applyAlignment="1"/>
    <xf numFmtId="0" fontId="47" fillId="0" borderId="0" xfId="0" applyFont="1" applyFill="1"/>
    <xf numFmtId="0" fontId="59" fillId="0" borderId="0" xfId="0" applyFont="1" applyBorder="1"/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10" fillId="12" borderId="0" xfId="0" applyNumberFormat="1" applyFont="1" applyFill="1" applyAlignment="1">
      <alignment horizontal="center"/>
    </xf>
    <xf numFmtId="0" fontId="33" fillId="6" borderId="0" xfId="0" applyFont="1" applyFill="1" applyBorder="1" applyAlignment="1">
      <alignment vertical="center"/>
    </xf>
    <xf numFmtId="0" fontId="33" fillId="6" borderId="0" xfId="0" applyFont="1" applyFill="1" applyBorder="1" applyAlignment="1">
      <alignment horizontal="center" vertical="center"/>
    </xf>
    <xf numFmtId="0" fontId="33" fillId="6" borderId="0" xfId="0" applyFont="1" applyFill="1" applyBorder="1" applyAlignment="1">
      <alignment vertical="center" wrapText="1"/>
    </xf>
    <xf numFmtId="0" fontId="33" fillId="6" borderId="9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 wrapText="1"/>
    </xf>
    <xf numFmtId="0" fontId="47" fillId="6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59" fillId="0" borderId="0" xfId="3" applyFont="1" applyFill="1" applyBorder="1"/>
    <xf numFmtId="0" fontId="0" fillId="7" borderId="0" xfId="0" applyFont="1" applyFill="1" applyBorder="1" applyAlignment="1">
      <alignment horizontal="center"/>
    </xf>
    <xf numFmtId="0" fontId="0" fillId="4" borderId="0" xfId="0" applyFont="1" applyFill="1" applyBorder="1"/>
    <xf numFmtId="2" fontId="0" fillId="4" borderId="0" xfId="0" applyNumberFormat="1" applyFont="1" applyFill="1" applyBorder="1"/>
    <xf numFmtId="0" fontId="60" fillId="0" borderId="0" xfId="0" applyFont="1"/>
    <xf numFmtId="0" fontId="0" fillId="5" borderId="0" xfId="0" applyFont="1" applyFill="1" applyBorder="1"/>
    <xf numFmtId="0" fontId="5" fillId="2" borderId="0" xfId="1" applyFont="1" applyBorder="1" applyAlignment="1">
      <alignment horizontal="center"/>
    </xf>
    <xf numFmtId="0" fontId="9" fillId="0" borderId="0" xfId="0" applyFont="1" applyBorder="1"/>
    <xf numFmtId="0" fontId="15" fillId="7" borderId="0" xfId="0" applyFont="1" applyFill="1" applyBorder="1" applyAlignment="1">
      <alignment horizontal="center"/>
    </xf>
    <xf numFmtId="0" fontId="10" fillId="0" borderId="0" xfId="0" applyFont="1"/>
    <xf numFmtId="0" fontId="35" fillId="0" borderId="0" xfId="0" applyFont="1" applyFill="1" applyBorder="1"/>
    <xf numFmtId="0" fontId="62" fillId="0" borderId="0" xfId="0" applyFont="1" applyFill="1" applyBorder="1"/>
    <xf numFmtId="0" fontId="15" fillId="0" borderId="0" xfId="3" applyFont="1" applyFill="1" applyBorder="1"/>
    <xf numFmtId="0" fontId="63" fillId="0" borderId="0" xfId="0" applyFont="1" applyFill="1" applyBorder="1"/>
    <xf numFmtId="0" fontId="63" fillId="0" borderId="0" xfId="0" applyFont="1" applyBorder="1"/>
    <xf numFmtId="0" fontId="13" fillId="0" borderId="0" xfId="0" applyFont="1" applyBorder="1"/>
    <xf numFmtId="0" fontId="15" fillId="7" borderId="0" xfId="0" applyFont="1" applyFill="1" applyAlignment="1">
      <alignment horizontal="center"/>
    </xf>
    <xf numFmtId="0" fontId="0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66" fillId="0" borderId="0" xfId="0" applyFont="1" applyAlignment="1">
      <alignment vertical="center"/>
    </xf>
    <xf numFmtId="0" fontId="66" fillId="0" borderId="0" xfId="0" applyFont="1" applyBorder="1"/>
    <xf numFmtId="0" fontId="66" fillId="0" borderId="0" xfId="0" applyFont="1" applyFill="1" applyBorder="1"/>
    <xf numFmtId="9" fontId="0" fillId="7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60" fillId="0" borderId="0" xfId="3" applyFont="1" applyFill="1" applyBorder="1"/>
    <xf numFmtId="0" fontId="33" fillId="7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7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64" fillId="0" borderId="0" xfId="0" applyFont="1" applyBorder="1" applyAlignment="1">
      <alignment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0" xfId="0" applyFont="1" applyAlignment="1"/>
    <xf numFmtId="0" fontId="35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33" fillId="7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" fontId="15" fillId="8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6" fontId="15" fillId="8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15" fillId="8" borderId="0" xfId="0" applyFont="1" applyFill="1" applyAlignment="1">
      <alignment horizontal="center"/>
    </xf>
    <xf numFmtId="0" fontId="0" fillId="8" borderId="0" xfId="0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165" fontId="0" fillId="8" borderId="0" xfId="0" applyNumberFormat="1" applyFill="1"/>
    <xf numFmtId="0" fontId="19" fillId="0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2" fillId="6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8" fillId="0" borderId="0" xfId="3" applyFill="1" applyBorder="1"/>
    <xf numFmtId="165" fontId="0" fillId="0" borderId="0" xfId="0" applyNumberFormat="1" applyFill="1" applyBorder="1"/>
    <xf numFmtId="9" fontId="0" fillId="0" borderId="0" xfId="0" applyNumberFormat="1" applyFill="1" applyBorder="1"/>
    <xf numFmtId="1" fontId="37" fillId="0" borderId="0" xfId="0" applyNumberFormat="1" applyFont="1" applyFill="1"/>
    <xf numFmtId="9" fontId="0" fillId="8" borderId="0" xfId="0" applyNumberFormat="1" applyFill="1"/>
    <xf numFmtId="0" fontId="15" fillId="8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5" fillId="0" borderId="0" xfId="0" applyFont="1" applyFill="1" applyAlignment="1">
      <alignment horizontal="left"/>
    </xf>
    <xf numFmtId="0" fontId="15" fillId="0" borderId="0" xfId="2" applyNumberFormat="1" applyFont="1" applyFill="1" applyAlignment="1">
      <alignment horizontal="center"/>
    </xf>
    <xf numFmtId="0" fontId="15" fillId="0" borderId="0" xfId="2" applyNumberFormat="1" applyFont="1" applyFill="1"/>
    <xf numFmtId="0" fontId="59" fillId="7" borderId="0" xfId="0" applyFont="1" applyFill="1"/>
    <xf numFmtId="0" fontId="61" fillId="7" borderId="0" xfId="0" applyFont="1" applyFill="1"/>
    <xf numFmtId="167" fontId="61" fillId="7" borderId="0" xfId="2" applyNumberFormat="1" applyFont="1" applyFill="1"/>
    <xf numFmtId="0" fontId="61" fillId="0" borderId="0" xfId="0" applyFont="1" applyFill="1"/>
    <xf numFmtId="167" fontId="61" fillId="0" borderId="0" xfId="2" applyNumberFormat="1" applyFont="1" applyFill="1"/>
    <xf numFmtId="0" fontId="59" fillId="8" borderId="0" xfId="0" applyFont="1" applyFill="1"/>
    <xf numFmtId="0" fontId="61" fillId="8" borderId="0" xfId="0" applyFont="1" applyFill="1"/>
    <xf numFmtId="167" fontId="61" fillId="8" borderId="0" xfId="2" applyNumberFormat="1" applyFont="1" applyFill="1"/>
    <xf numFmtId="0" fontId="53" fillId="0" borderId="0" xfId="0" applyFont="1" applyFill="1"/>
    <xf numFmtId="168" fontId="15" fillId="0" borderId="0" xfId="2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166" fontId="20" fillId="10" borderId="0" xfId="0" applyNumberFormat="1" applyFont="1" applyFill="1" applyAlignment="1">
      <alignment horizontal="center"/>
    </xf>
    <xf numFmtId="1" fontId="20" fillId="10" borderId="0" xfId="0" applyNumberFormat="1" applyFont="1" applyFill="1" applyAlignment="1">
      <alignment horizontal="center"/>
    </xf>
    <xf numFmtId="0" fontId="25" fillId="12" borderId="0" xfId="0" applyFont="1" applyFill="1"/>
    <xf numFmtId="1" fontId="25" fillId="12" borderId="0" xfId="0" applyNumberFormat="1" applyFont="1" applyFill="1"/>
    <xf numFmtId="0" fontId="20" fillId="12" borderId="10" xfId="0" applyFont="1" applyFill="1" applyBorder="1" applyAlignment="1">
      <alignment horizontal="center"/>
    </xf>
    <xf numFmtId="10" fontId="0" fillId="12" borderId="0" xfId="0" applyNumberFormat="1" applyFill="1"/>
    <xf numFmtId="9" fontId="0" fillId="12" borderId="0" xfId="0" applyNumberFormat="1" applyFill="1"/>
    <xf numFmtId="0" fontId="19" fillId="6" borderId="0" xfId="0" applyFont="1" applyFill="1" applyBorder="1" applyAlignment="1">
      <alignment horizontal="center" vertical="center" wrapText="1"/>
    </xf>
    <xf numFmtId="166" fontId="25" fillId="12" borderId="0" xfId="0" applyNumberFormat="1" applyFont="1" applyFill="1" applyAlignment="1">
      <alignment horizontal="center"/>
    </xf>
    <xf numFmtId="1" fontId="20" fillId="12" borderId="0" xfId="0" applyNumberFormat="1" applyFont="1" applyFill="1" applyAlignment="1">
      <alignment horizontal="center"/>
    </xf>
    <xf numFmtId="165" fontId="0" fillId="12" borderId="0" xfId="0" applyNumberFormat="1" applyFill="1"/>
    <xf numFmtId="0" fontId="67" fillId="0" borderId="0" xfId="0" applyFont="1" applyFill="1"/>
    <xf numFmtId="166" fontId="31" fillId="12" borderId="0" xfId="0" applyNumberFormat="1" applyFont="1" applyFill="1" applyAlignment="1">
      <alignment horizontal="center"/>
    </xf>
    <xf numFmtId="1" fontId="31" fillId="12" borderId="0" xfId="0" applyNumberFormat="1" applyFont="1" applyFill="1" applyAlignment="1">
      <alignment horizontal="center"/>
    </xf>
    <xf numFmtId="166" fontId="20" fillId="12" borderId="0" xfId="0" applyNumberFormat="1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1" fontId="0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31" fillId="12" borderId="0" xfId="0" applyFont="1" applyFill="1" applyBorder="1" applyAlignment="1">
      <alignment horizontal="center"/>
    </xf>
    <xf numFmtId="0" fontId="31" fillId="12" borderId="0" xfId="0" applyFont="1" applyFill="1" applyBorder="1"/>
    <xf numFmtId="0" fontId="31" fillId="12" borderId="10" xfId="0" applyFont="1" applyFill="1" applyBorder="1" applyAlignment="1">
      <alignment horizontal="center"/>
    </xf>
    <xf numFmtId="0" fontId="31" fillId="12" borderId="10" xfId="0" applyFont="1" applyFill="1" applyBorder="1" applyAlignment="1">
      <alignment horizontal="right"/>
    </xf>
    <xf numFmtId="0" fontId="31" fillId="0" borderId="0" xfId="0" applyFont="1"/>
    <xf numFmtId="1" fontId="30" fillId="0" borderId="0" xfId="0" applyNumberFormat="1" applyFont="1" applyFill="1" applyAlignment="1">
      <alignment horizontal="left"/>
    </xf>
    <xf numFmtId="0" fontId="25" fillId="12" borderId="0" xfId="0" applyFont="1" applyFill="1" applyAlignment="1">
      <alignment horizontal="center"/>
    </xf>
    <xf numFmtId="168" fontId="25" fillId="0" borderId="0" xfId="2" applyNumberFormat="1" applyFont="1" applyFill="1" applyAlignment="1">
      <alignment horizontal="center"/>
    </xf>
    <xf numFmtId="166" fontId="25" fillId="12" borderId="0" xfId="0" applyNumberFormat="1" applyFont="1" applyFill="1"/>
    <xf numFmtId="1" fontId="11" fillId="13" borderId="0" xfId="0" applyNumberFormat="1" applyFont="1" applyFill="1"/>
    <xf numFmtId="0" fontId="68" fillId="0" borderId="0" xfId="0" applyFont="1" applyBorder="1"/>
    <xf numFmtId="0" fontId="14" fillId="6" borderId="11" xfId="3" applyFont="1" applyFill="1" applyBorder="1"/>
    <xf numFmtId="0" fontId="2" fillId="6" borderId="9" xfId="0" applyFont="1" applyFill="1" applyBorder="1"/>
    <xf numFmtId="0" fontId="10" fillId="8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" fontId="10" fillId="8" borderId="0" xfId="0" applyNumberFormat="1" applyFont="1" applyFill="1" applyAlignment="1">
      <alignment horizontal="center"/>
    </xf>
    <xf numFmtId="168" fontId="31" fillId="0" borderId="0" xfId="2" applyNumberFormat="1" applyFont="1" applyFill="1" applyAlignment="1">
      <alignment horizontal="center"/>
    </xf>
    <xf numFmtId="166" fontId="32" fillId="12" borderId="0" xfId="0" applyNumberFormat="1" applyFont="1" applyFill="1" applyAlignment="1">
      <alignment horizontal="center"/>
    </xf>
    <xf numFmtId="1" fontId="32" fillId="12" borderId="0" xfId="0" applyNumberFormat="1" applyFont="1" applyFill="1"/>
    <xf numFmtId="0" fontId="69" fillId="0" borderId="0" xfId="0" applyFont="1" applyFill="1" applyBorder="1" applyAlignment="1">
      <alignment horizontal="center" wrapText="1"/>
    </xf>
    <xf numFmtId="0" fontId="31" fillId="7" borderId="0" xfId="0" applyFont="1" applyFill="1" applyBorder="1" applyAlignment="1">
      <alignment horizontal="center"/>
    </xf>
    <xf numFmtId="0" fontId="31" fillId="0" borderId="0" xfId="0" applyFont="1" applyFill="1" applyBorder="1" applyAlignment="1"/>
    <xf numFmtId="168" fontId="25" fillId="0" borderId="0" xfId="2" applyNumberFormat="1" applyFont="1" applyFill="1" applyAlignment="1">
      <alignment horizontal="right"/>
    </xf>
    <xf numFmtId="0" fontId="19" fillId="6" borderId="0" xfId="0" applyFont="1" applyFill="1" applyBorder="1" applyAlignment="1">
      <alignment horizontal="left" vertical="center"/>
    </xf>
    <xf numFmtId="0" fontId="37" fillId="6" borderId="0" xfId="0" applyFont="1" applyFill="1" applyBorder="1" applyAlignment="1">
      <alignment horizontal="left" vertical="center"/>
    </xf>
    <xf numFmtId="0" fontId="31" fillId="0" borderId="0" xfId="0" applyFont="1" applyFill="1" applyBorder="1"/>
    <xf numFmtId="167" fontId="31" fillId="0" borderId="0" xfId="2" applyNumberFormat="1" applyFont="1" applyFill="1" applyAlignment="1">
      <alignment horizontal="center"/>
    </xf>
    <xf numFmtId="167" fontId="20" fillId="12" borderId="0" xfId="2" applyNumberFormat="1" applyFont="1" applyFill="1"/>
    <xf numFmtId="1" fontId="31" fillId="12" borderId="0" xfId="0" quotePrefix="1" applyNumberFormat="1" applyFont="1" applyFill="1" applyAlignment="1">
      <alignment horizontal="center"/>
    </xf>
    <xf numFmtId="1" fontId="70" fillId="0" borderId="0" xfId="0" applyNumberFormat="1" applyFont="1" applyFill="1"/>
    <xf numFmtId="166" fontId="70" fillId="12" borderId="0" xfId="0" applyNumberFormat="1" applyFont="1" applyFill="1" applyAlignment="1">
      <alignment horizontal="center"/>
    </xf>
    <xf numFmtId="1" fontId="70" fillId="0" borderId="0" xfId="0" applyNumberFormat="1" applyFont="1" applyFill="1" applyAlignment="1">
      <alignment horizontal="center"/>
    </xf>
    <xf numFmtId="1" fontId="70" fillId="12" borderId="0" xfId="0" applyNumberFormat="1" applyFont="1" applyFill="1" applyAlignment="1">
      <alignment horizontal="center"/>
    </xf>
    <xf numFmtId="166" fontId="70" fillId="12" borderId="0" xfId="2" applyNumberFormat="1" applyFont="1" applyFill="1" applyAlignment="1">
      <alignment horizontal="center"/>
    </xf>
    <xf numFmtId="1" fontId="70" fillId="12" borderId="0" xfId="0" quotePrefix="1" applyNumberFormat="1" applyFont="1" applyFill="1" applyAlignment="1">
      <alignment horizontal="center"/>
    </xf>
    <xf numFmtId="0" fontId="70" fillId="0" borderId="0" xfId="0" applyFont="1" applyFill="1" applyBorder="1"/>
  </cellXfs>
  <cellStyles count="5">
    <cellStyle name="God" xfId="1" builtinId="26"/>
    <cellStyle name="Komma" xfId="2" builtinId="3"/>
    <cellStyle name="Normal" xfId="0" builtinId="0"/>
    <cellStyle name="Overskrift 2" xfId="3" builtinId="17"/>
    <cellStyle name="Pros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73"/>
  <sheetViews>
    <sheetView topLeftCell="A34" workbookViewId="0">
      <selection activeCell="C43" sqref="C43"/>
    </sheetView>
  </sheetViews>
  <sheetFormatPr baseColWidth="10" defaultColWidth="11.5703125" defaultRowHeight="15" x14ac:dyDescent="0.25"/>
  <cols>
    <col min="1" max="1" width="34.42578125" style="2" customWidth="1"/>
    <col min="2" max="2" width="16" style="2" customWidth="1"/>
    <col min="3" max="3" width="44.42578125" style="255" customWidth="1"/>
    <col min="4" max="4" width="14.28515625" style="2" customWidth="1"/>
    <col min="5" max="5" width="16" style="2" customWidth="1"/>
    <col min="6" max="6" width="16.7109375" style="2" customWidth="1"/>
    <col min="7" max="11" width="12.7109375" style="2" customWidth="1"/>
    <col min="12" max="12" width="15.7109375" style="2" customWidth="1"/>
    <col min="13" max="13" width="5.140625" style="2" customWidth="1"/>
    <col min="14" max="14" width="19.5703125" style="2" customWidth="1"/>
    <col min="15" max="15" width="6.7109375" style="2" bestFit="1" customWidth="1"/>
    <col min="16" max="16" width="16.28515625" style="2" customWidth="1"/>
    <col min="17" max="17" width="12.42578125" style="2" customWidth="1"/>
    <col min="18" max="16384" width="11.5703125" style="2"/>
  </cols>
  <sheetData>
    <row r="1" spans="1:19" ht="18.75" x14ac:dyDescent="0.3">
      <c r="A1" s="328" t="s">
        <v>127</v>
      </c>
      <c r="B1" s="18"/>
      <c r="C1" s="251"/>
      <c r="D1" s="18"/>
      <c r="E1" s="1"/>
      <c r="L1" s="3"/>
      <c r="M1" s="3"/>
      <c r="N1" s="3" t="s">
        <v>128</v>
      </c>
      <c r="O1" s="3"/>
      <c r="P1" s="3"/>
    </row>
    <row r="2" spans="1:19" x14ac:dyDescent="0.25">
      <c r="A2" s="18"/>
      <c r="B2" s="18"/>
      <c r="C2" s="251"/>
      <c r="D2" s="18"/>
      <c r="E2" s="1"/>
      <c r="L2" s="3"/>
      <c r="M2" s="3"/>
      <c r="N2" s="3"/>
      <c r="O2" s="3"/>
      <c r="P2" s="3"/>
    </row>
    <row r="3" spans="1:19" x14ac:dyDescent="0.25">
      <c r="A3" s="1"/>
      <c r="B3" s="1"/>
      <c r="C3" s="249"/>
      <c r="D3" s="1"/>
      <c r="E3" s="1"/>
    </row>
    <row r="4" spans="1:19" ht="18.75" x14ac:dyDescent="0.3">
      <c r="A4" s="218" t="s">
        <v>129</v>
      </c>
      <c r="B4"/>
      <c r="C4" s="252"/>
      <c r="D4"/>
      <c r="E4"/>
      <c r="F4"/>
      <c r="G4"/>
      <c r="H4"/>
      <c r="I4"/>
      <c r="J4"/>
      <c r="K4"/>
      <c r="L4"/>
      <c r="N4" s="7" t="s">
        <v>30</v>
      </c>
      <c r="O4" s="11"/>
    </row>
    <row r="5" spans="1:19" x14ac:dyDescent="0.25">
      <c r="B5"/>
      <c r="C5" s="252"/>
      <c r="D5"/>
      <c r="E5"/>
      <c r="F5"/>
      <c r="G5"/>
      <c r="H5"/>
      <c r="I5"/>
      <c r="J5"/>
      <c r="K5"/>
      <c r="L5"/>
      <c r="N5" s="8" t="s">
        <v>0</v>
      </c>
      <c r="O5" s="11">
        <f>(B7+(B1*4))*B9</f>
        <v>42</v>
      </c>
    </row>
    <row r="6" spans="1:19" ht="15.75" x14ac:dyDescent="0.25">
      <c r="A6" s="200" t="s">
        <v>148</v>
      </c>
      <c r="B6" s="3"/>
      <c r="C6" s="253"/>
      <c r="D6" s="3"/>
      <c r="E6" s="3"/>
      <c r="F6" s="3"/>
      <c r="G6" s="3"/>
      <c r="H6" s="3"/>
      <c r="I6" s="3"/>
      <c r="J6" s="3"/>
      <c r="K6" s="3"/>
      <c r="N6" s="8" t="s">
        <v>1</v>
      </c>
      <c r="O6" s="11">
        <f>IF(B2&lt;21,(B12*B1),(B12*B1)+(LOOKUP(B2,'Ark2'!C1:D290)*B1))</f>
        <v>0</v>
      </c>
    </row>
    <row r="7" spans="1:19" x14ac:dyDescent="0.25">
      <c r="A7" s="3" t="s">
        <v>29</v>
      </c>
      <c r="B7" s="215">
        <v>12</v>
      </c>
      <c r="C7" s="253" t="s">
        <v>211</v>
      </c>
      <c r="F7" s="3"/>
      <c r="G7" s="3"/>
      <c r="H7" s="3"/>
      <c r="I7" s="3"/>
      <c r="J7" s="3"/>
      <c r="K7" s="3"/>
      <c r="N7" s="8" t="s">
        <v>2</v>
      </c>
      <c r="O7" s="11" t="e">
        <f>B2*#REF!</f>
        <v>#REF!</v>
      </c>
    </row>
    <row r="8" spans="1:19" x14ac:dyDescent="0.25">
      <c r="A8" s="3" t="s">
        <v>132</v>
      </c>
      <c r="B8" s="215">
        <v>4</v>
      </c>
      <c r="C8" s="253" t="s">
        <v>133</v>
      </c>
      <c r="F8" s="3"/>
      <c r="G8" s="3"/>
      <c r="H8" s="3"/>
      <c r="I8" s="3"/>
      <c r="J8" s="3"/>
      <c r="K8" s="3"/>
      <c r="N8" s="8"/>
      <c r="O8" s="11"/>
    </row>
    <row r="9" spans="1:19" ht="15.75" thickBot="1" x14ac:dyDescent="0.3">
      <c r="A9" s="1" t="s">
        <v>135</v>
      </c>
      <c r="B9" s="222">
        <v>3.5</v>
      </c>
      <c r="C9" s="249" t="s">
        <v>134</v>
      </c>
      <c r="F9" s="3"/>
      <c r="G9" s="3"/>
      <c r="H9" s="3"/>
      <c r="I9" s="3"/>
      <c r="J9" s="3"/>
      <c r="K9" s="3"/>
      <c r="N9" s="8"/>
      <c r="O9" s="12" t="e">
        <f>SUM(O5:O7)</f>
        <v>#REF!</v>
      </c>
      <c r="S9" s="6"/>
    </row>
    <row r="10" spans="1:19" ht="15.75" thickTop="1" x14ac:dyDescent="0.25">
      <c r="A10" s="1"/>
      <c r="B10" s="201"/>
      <c r="C10" s="201"/>
      <c r="D10" s="201"/>
      <c r="E10" s="1"/>
      <c r="F10" s="3"/>
      <c r="G10" s="3"/>
      <c r="H10" s="3"/>
      <c r="I10" s="3"/>
      <c r="J10" s="3"/>
      <c r="K10" s="3"/>
      <c r="N10" s="216"/>
      <c r="O10" s="217"/>
      <c r="S10" s="6"/>
    </row>
    <row r="11" spans="1:19" ht="15.75" x14ac:dyDescent="0.25">
      <c r="A11" s="229" t="s">
        <v>145</v>
      </c>
      <c r="B11" s="201"/>
      <c r="C11" s="201"/>
      <c r="D11" s="201"/>
      <c r="E11" s="1"/>
      <c r="F11" s="3"/>
      <c r="G11" s="3"/>
      <c r="H11" s="3"/>
      <c r="I11" s="3"/>
      <c r="J11" s="3"/>
      <c r="K11" s="3"/>
      <c r="N11" s="216"/>
      <c r="O11" s="217"/>
      <c r="S11" s="6"/>
    </row>
    <row r="12" spans="1:19" ht="15.75" thickBot="1" x14ac:dyDescent="0.3">
      <c r="A12" s="227" t="s">
        <v>146</v>
      </c>
      <c r="B12" s="215">
        <v>8</v>
      </c>
      <c r="C12" s="253" t="s">
        <v>13</v>
      </c>
      <c r="F12" s="3"/>
      <c r="G12" s="3"/>
      <c r="H12" s="3"/>
      <c r="I12" s="3"/>
      <c r="J12" s="3"/>
      <c r="K12" s="3"/>
      <c r="N12"/>
      <c r="O12"/>
    </row>
    <row r="13" spans="1:19" ht="15.75" customHeight="1" thickBot="1" x14ac:dyDescent="0.3">
      <c r="A13" s="227" t="s">
        <v>149</v>
      </c>
      <c r="B13" s="215">
        <v>0.2</v>
      </c>
      <c r="C13" s="249" t="s">
        <v>16</v>
      </c>
      <c r="F13" s="3"/>
      <c r="G13" s="3"/>
      <c r="H13" s="3"/>
      <c r="I13" s="3"/>
      <c r="J13" s="3"/>
      <c r="K13" s="3"/>
      <c r="N13" s="194" t="s">
        <v>118</v>
      </c>
      <c r="O13" s="176" t="s">
        <v>7</v>
      </c>
      <c r="P13" s="198" t="s">
        <v>8</v>
      </c>
      <c r="Q13" s="193" t="s">
        <v>119</v>
      </c>
      <c r="R13" s="188"/>
    </row>
    <row r="14" spans="1:19" ht="15.75" customHeight="1" x14ac:dyDescent="0.25">
      <c r="A14" s="227" t="s">
        <v>150</v>
      </c>
      <c r="B14" s="215">
        <v>0.1</v>
      </c>
      <c r="C14" s="249" t="s">
        <v>14</v>
      </c>
      <c r="F14" s="3"/>
      <c r="G14" s="3"/>
      <c r="H14" s="3"/>
      <c r="I14" s="3"/>
      <c r="J14" s="3"/>
      <c r="K14" s="3"/>
      <c r="N14" s="175" t="s">
        <v>5</v>
      </c>
      <c r="O14" s="177">
        <v>15</v>
      </c>
      <c r="P14" s="178">
        <f>15+O14</f>
        <v>30</v>
      </c>
      <c r="Q14" t="s">
        <v>116</v>
      </c>
    </row>
    <row r="15" spans="1:19" ht="15.75" customHeight="1" x14ac:dyDescent="0.25">
      <c r="A15" s="227" t="s">
        <v>151</v>
      </c>
      <c r="B15" s="215">
        <v>7.4999999999999997E-2</v>
      </c>
      <c r="C15" s="249" t="s">
        <v>15</v>
      </c>
      <c r="F15" s="3"/>
      <c r="G15" s="3"/>
      <c r="H15" s="3"/>
      <c r="I15" s="3"/>
      <c r="J15" s="3"/>
      <c r="K15" s="3"/>
      <c r="N15" s="9" t="s">
        <v>6</v>
      </c>
      <c r="O15" s="13">
        <v>30</v>
      </c>
      <c r="P15" s="14">
        <f>30+O15</f>
        <v>60</v>
      </c>
      <c r="Q15" t="s">
        <v>117</v>
      </c>
    </row>
    <row r="16" spans="1:19" ht="13.9" customHeight="1" thickBot="1" x14ac:dyDescent="0.3">
      <c r="A16" s="221"/>
      <c r="B16" s="33"/>
      <c r="C16" s="249"/>
      <c r="F16" s="3"/>
      <c r="G16" s="3"/>
      <c r="H16" s="3"/>
      <c r="I16" s="3"/>
      <c r="J16" s="3"/>
      <c r="K16" s="3"/>
      <c r="N16" s="10" t="s">
        <v>6</v>
      </c>
      <c r="O16" s="15">
        <v>60</v>
      </c>
      <c r="P16" s="174">
        <f>30+O16</f>
        <v>90</v>
      </c>
    </row>
    <row r="17" spans="1:16" ht="13.9" customHeight="1" x14ac:dyDescent="0.25">
      <c r="A17" s="228" t="s">
        <v>137</v>
      </c>
      <c r="B17" s="215">
        <v>5</v>
      </c>
      <c r="C17" s="254" t="s">
        <v>180</v>
      </c>
      <c r="F17" s="3"/>
      <c r="G17" s="3"/>
      <c r="H17" s="3"/>
      <c r="I17" s="3"/>
      <c r="J17" s="3"/>
      <c r="K17" s="3"/>
      <c r="N17" s="9"/>
      <c r="O17" s="13"/>
      <c r="P17" s="14"/>
    </row>
    <row r="18" spans="1:16" ht="13.9" customHeight="1" x14ac:dyDescent="0.25">
      <c r="A18" s="228" t="s">
        <v>138</v>
      </c>
      <c r="B18" s="215">
        <v>15</v>
      </c>
      <c r="C18" s="254" t="s">
        <v>136</v>
      </c>
      <c r="F18" s="3"/>
      <c r="G18" s="3"/>
      <c r="H18" s="3"/>
      <c r="I18" s="3"/>
      <c r="J18" s="3"/>
      <c r="K18" s="3"/>
      <c r="N18" s="219"/>
      <c r="O18" s="13"/>
      <c r="P18" s="220"/>
    </row>
    <row r="19" spans="1:16" ht="13.9" customHeight="1" x14ac:dyDescent="0.25">
      <c r="A19" s="3"/>
      <c r="B19" s="1"/>
      <c r="F19" s="3"/>
      <c r="G19" s="3"/>
      <c r="H19" s="3"/>
      <c r="I19" s="3"/>
      <c r="J19" s="3"/>
      <c r="K19" s="3"/>
      <c r="N19" s="219"/>
      <c r="O19" s="13"/>
      <c r="P19" s="220"/>
    </row>
    <row r="20" spans="1:16" s="223" customFormat="1" ht="15.75" x14ac:dyDescent="0.25">
      <c r="A20" s="200" t="s">
        <v>139</v>
      </c>
      <c r="C20" s="256"/>
      <c r="F20" s="224"/>
      <c r="G20" s="83"/>
      <c r="H20" s="82"/>
      <c r="I20" s="83"/>
      <c r="J20" s="83"/>
      <c r="K20" s="83"/>
    </row>
    <row r="21" spans="1:16" s="223" customFormat="1" ht="16.149999999999999" customHeight="1" x14ac:dyDescent="0.25">
      <c r="A21" s="183" t="s">
        <v>140</v>
      </c>
      <c r="B21" s="230">
        <v>0.75</v>
      </c>
      <c r="C21" s="257" t="s">
        <v>143</v>
      </c>
      <c r="F21" s="82"/>
      <c r="H21" s="82"/>
      <c r="I21" s="83"/>
      <c r="J21" s="83"/>
      <c r="K21" s="83"/>
    </row>
    <row r="22" spans="1:16" s="223" customFormat="1" ht="16.149999999999999" customHeight="1" x14ac:dyDescent="0.25">
      <c r="A22" s="183" t="s">
        <v>147</v>
      </c>
      <c r="B22" s="230">
        <v>1</v>
      </c>
      <c r="C22" s="257" t="s">
        <v>144</v>
      </c>
      <c r="F22" s="82"/>
      <c r="G22" s="82"/>
      <c r="H22" s="82"/>
      <c r="I22" s="83"/>
      <c r="J22" s="83"/>
      <c r="K22" s="83"/>
    </row>
    <row r="23" spans="1:16" s="223" customFormat="1" ht="16.149999999999999" customHeight="1" x14ac:dyDescent="0.25">
      <c r="A23" s="25" t="s">
        <v>157</v>
      </c>
      <c r="B23" s="215">
        <v>2</v>
      </c>
      <c r="C23" s="250" t="s">
        <v>156</v>
      </c>
      <c r="F23" s="82"/>
      <c r="G23" s="82"/>
      <c r="H23" s="82"/>
      <c r="I23" s="83"/>
      <c r="J23" s="83"/>
      <c r="K23" s="83"/>
    </row>
    <row r="24" spans="1:16" s="223" customFormat="1" ht="16.149999999999999" customHeight="1" x14ac:dyDescent="0.25">
      <c r="A24" s="183" t="s">
        <v>141</v>
      </c>
      <c r="B24" s="235">
        <v>1</v>
      </c>
      <c r="C24" s="248" t="s">
        <v>152</v>
      </c>
      <c r="F24" s="225"/>
      <c r="G24" s="82"/>
      <c r="H24" s="82"/>
      <c r="I24" s="83"/>
      <c r="J24" s="83"/>
      <c r="K24" s="83"/>
    </row>
    <row r="25" spans="1:16" ht="16.149999999999999" customHeight="1" x14ac:dyDescent="0.25">
      <c r="A25" s="1"/>
      <c r="B25" s="235">
        <v>1.5</v>
      </c>
      <c r="C25" s="248" t="s">
        <v>153</v>
      </c>
      <c r="F25" s="231"/>
      <c r="G25" s="1"/>
      <c r="H25" s="1"/>
      <c r="I25" s="3"/>
      <c r="J25" s="3"/>
      <c r="K25" s="3"/>
      <c r="N25"/>
      <c r="O25"/>
    </row>
    <row r="26" spans="1:16" ht="16.149999999999999" customHeight="1" x14ac:dyDescent="0.25">
      <c r="A26" s="25"/>
      <c r="B26" s="263">
        <v>10</v>
      </c>
      <c r="C26" s="248" t="s">
        <v>154</v>
      </c>
      <c r="F26" s="231"/>
      <c r="G26" s="25"/>
      <c r="I26" s="3"/>
      <c r="J26" s="3"/>
      <c r="K26" s="3"/>
      <c r="N26"/>
      <c r="O26"/>
    </row>
    <row r="27" spans="1:16" ht="16.149999999999999" customHeight="1" x14ac:dyDescent="0.25">
      <c r="A27" s="25"/>
      <c r="B27" s="263">
        <v>12</v>
      </c>
      <c r="C27" s="248" t="s">
        <v>155</v>
      </c>
      <c r="F27" s="231"/>
      <c r="G27" s="25"/>
      <c r="I27" s="3"/>
      <c r="J27" s="3"/>
      <c r="K27" s="3"/>
      <c r="N27"/>
      <c r="O27"/>
    </row>
    <row r="28" spans="1:16" ht="13.9" customHeight="1" x14ac:dyDescent="0.25">
      <c r="A28" s="3"/>
      <c r="B28" s="1"/>
      <c r="C28" s="249"/>
      <c r="D28" s="1"/>
      <c r="E28" s="1"/>
      <c r="F28" s="3"/>
      <c r="G28" s="3"/>
      <c r="H28" s="3"/>
      <c r="I28" s="3"/>
      <c r="J28" s="3"/>
      <c r="K28" s="3"/>
      <c r="N28" s="219"/>
      <c r="O28" s="13"/>
      <c r="P28" s="220"/>
    </row>
    <row r="29" spans="1:16" ht="15.6" customHeight="1" x14ac:dyDescent="0.25">
      <c r="A29" s="233" t="s">
        <v>158</v>
      </c>
      <c r="B29" s="1"/>
      <c r="C29" s="249"/>
      <c r="D29" s="1"/>
      <c r="E29" s="1"/>
      <c r="F29" s="3"/>
      <c r="G29" s="3"/>
      <c r="H29" s="3"/>
      <c r="I29" s="3"/>
      <c r="J29" s="3"/>
      <c r="K29" s="3"/>
    </row>
    <row r="30" spans="1:16" ht="15.75" customHeight="1" x14ac:dyDescent="0.25">
      <c r="A30" s="234"/>
      <c r="B30" s="1"/>
      <c r="C30" s="249"/>
      <c r="D30" s="1"/>
      <c r="E30" s="1"/>
      <c r="F30" s="3"/>
      <c r="G30" s="3"/>
      <c r="H30" s="3"/>
      <c r="I30" s="3"/>
      <c r="J30" s="3"/>
      <c r="K30" s="3"/>
    </row>
    <row r="31" spans="1:16" ht="15.75" customHeight="1" x14ac:dyDescent="0.25">
      <c r="A31" s="237" t="s">
        <v>232</v>
      </c>
      <c r="B31" s="1"/>
      <c r="C31" s="249"/>
      <c r="D31" s="1"/>
      <c r="E31" s="1"/>
      <c r="F31" s="3"/>
      <c r="G31" s="3"/>
      <c r="H31" s="3"/>
      <c r="I31" s="3"/>
      <c r="J31" s="3"/>
      <c r="K31" s="3"/>
    </row>
    <row r="32" spans="1:16" ht="16.149999999999999" customHeight="1" x14ac:dyDescent="0.25">
      <c r="A32" s="3" t="s">
        <v>159</v>
      </c>
      <c r="B32" s="215">
        <v>8</v>
      </c>
      <c r="C32" s="252" t="s">
        <v>165</v>
      </c>
      <c r="E32" s="25"/>
      <c r="F32" s="3"/>
      <c r="G32" s="3"/>
      <c r="H32" s="3"/>
      <c r="I32" s="3"/>
      <c r="J32" s="3"/>
      <c r="K32" s="3"/>
    </row>
    <row r="33" spans="1:11" ht="16.149999999999999" customHeight="1" x14ac:dyDescent="0.25">
      <c r="A33" s="3" t="s">
        <v>105</v>
      </c>
      <c r="B33" s="215">
        <v>1</v>
      </c>
      <c r="C33" s="255" t="s">
        <v>164</v>
      </c>
      <c r="D33" s="33"/>
      <c r="E33" s="25"/>
      <c r="G33" s="3"/>
      <c r="H33" s="3"/>
      <c r="I33" s="3"/>
      <c r="J33" s="3"/>
      <c r="K33" s="3"/>
    </row>
    <row r="34" spans="1:11" ht="16.149999999999999" customHeight="1" x14ac:dyDescent="0.25">
      <c r="A34" s="180" t="s">
        <v>160</v>
      </c>
      <c r="B34" s="222">
        <v>1</v>
      </c>
      <c r="C34" s="255" t="s">
        <v>164</v>
      </c>
      <c r="D34" s="201"/>
      <c r="E34" s="25"/>
      <c r="F34" s="3"/>
      <c r="G34" s="3"/>
      <c r="H34" s="3"/>
      <c r="I34" s="3"/>
      <c r="J34" s="3"/>
      <c r="K34" s="3"/>
    </row>
    <row r="35" spans="1:11" ht="16.149999999999999" customHeight="1" x14ac:dyDescent="0.25">
      <c r="A35" s="180" t="s">
        <v>161</v>
      </c>
      <c r="B35" s="222">
        <v>2</v>
      </c>
      <c r="C35" s="255" t="s">
        <v>164</v>
      </c>
      <c r="D35" s="201"/>
      <c r="E35" s="25"/>
      <c r="F35" s="3"/>
      <c r="G35" s="3"/>
      <c r="H35" s="3"/>
      <c r="I35" s="3"/>
      <c r="J35" s="3"/>
      <c r="K35" s="3"/>
    </row>
    <row r="36" spans="1:11" ht="16.149999999999999" customHeight="1" x14ac:dyDescent="0.25">
      <c r="A36" s="179"/>
      <c r="B36" s="180"/>
      <c r="C36" s="258"/>
      <c r="D36" s="183"/>
      <c r="E36" s="182"/>
      <c r="F36" s="3"/>
      <c r="G36" s="3"/>
      <c r="H36" s="3"/>
      <c r="I36" s="3"/>
      <c r="J36" s="3"/>
      <c r="K36" s="3"/>
    </row>
    <row r="37" spans="1:11" ht="16.149999999999999" customHeight="1" x14ac:dyDescent="0.25">
      <c r="A37" s="180" t="s">
        <v>55</v>
      </c>
      <c r="B37" s="235">
        <v>10</v>
      </c>
      <c r="C37" s="252" t="s">
        <v>166</v>
      </c>
      <c r="E37" s="25"/>
      <c r="F37" s="3"/>
      <c r="G37" s="3"/>
      <c r="H37" s="3"/>
      <c r="I37" s="3"/>
      <c r="J37" s="3"/>
      <c r="K37" s="3"/>
    </row>
    <row r="38" spans="1:11" ht="16.149999999999999" customHeight="1" x14ac:dyDescent="0.25">
      <c r="A38" s="180" t="s">
        <v>162</v>
      </c>
      <c r="B38" s="235">
        <v>8</v>
      </c>
      <c r="C38" s="202" t="s">
        <v>164</v>
      </c>
      <c r="D38" s="184"/>
      <c r="E38" s="25"/>
      <c r="F38" s="3"/>
      <c r="G38" s="3"/>
      <c r="H38" s="3"/>
      <c r="I38" s="3"/>
      <c r="J38" s="3"/>
      <c r="K38" s="3"/>
    </row>
    <row r="39" spans="1:11" ht="16.149999999999999" customHeight="1" x14ac:dyDescent="0.25">
      <c r="A39" s="180"/>
      <c r="B39" s="184"/>
      <c r="D39" s="184"/>
      <c r="E39" s="182"/>
      <c r="F39" s="3"/>
      <c r="G39" s="3"/>
      <c r="H39" s="3"/>
      <c r="I39" s="3"/>
      <c r="J39" s="3"/>
      <c r="K39" s="3"/>
    </row>
    <row r="40" spans="1:11" ht="16.149999999999999" customHeight="1" x14ac:dyDescent="0.25">
      <c r="A40" s="238" t="s">
        <v>233</v>
      </c>
      <c r="B40" s="184"/>
      <c r="C40" s="63" t="s">
        <v>167</v>
      </c>
      <c r="E40" s="25"/>
      <c r="F40" s="3"/>
      <c r="G40" s="3"/>
      <c r="H40" s="3"/>
      <c r="I40" s="3"/>
      <c r="J40" s="3"/>
      <c r="K40" s="3"/>
    </row>
    <row r="41" spans="1:11" s="1" customFormat="1" ht="16.149999999999999" customHeight="1" x14ac:dyDescent="0.25">
      <c r="A41" s="183" t="s">
        <v>126</v>
      </c>
      <c r="B41" s="222">
        <v>1.5</v>
      </c>
      <c r="C41" s="202" t="s">
        <v>125</v>
      </c>
      <c r="D41" s="201"/>
    </row>
    <row r="43" spans="1:11" x14ac:dyDescent="0.25">
      <c r="A43" s="239" t="s">
        <v>213</v>
      </c>
      <c r="B43" s="215">
        <v>7.5</v>
      </c>
      <c r="C43" s="255" t="s">
        <v>214</v>
      </c>
      <c r="D43" s="33"/>
      <c r="E43" s="25"/>
    </row>
    <row r="44" spans="1:11" ht="12" customHeight="1" x14ac:dyDescent="0.25">
      <c r="A44" s="183"/>
      <c r="B44" s="183"/>
      <c r="C44" s="257"/>
      <c r="D44" s="183"/>
      <c r="E44" s="183"/>
      <c r="F44" s="3"/>
      <c r="G44" s="3"/>
      <c r="H44" s="3"/>
      <c r="I44" s="3"/>
      <c r="J44" s="3"/>
      <c r="K44" s="3"/>
    </row>
    <row r="45" spans="1:11" ht="12" customHeight="1" x14ac:dyDescent="0.25">
      <c r="A45" s="239" t="s">
        <v>215</v>
      </c>
      <c r="B45" s="337"/>
      <c r="C45" s="249"/>
      <c r="D45" s="236"/>
      <c r="E45" s="1"/>
      <c r="F45" s="3"/>
      <c r="G45" s="3"/>
      <c r="H45" s="3"/>
      <c r="I45" s="3"/>
      <c r="J45" s="3"/>
      <c r="K45" s="3"/>
    </row>
    <row r="46" spans="1:11" x14ac:dyDescent="0.25">
      <c r="A46" s="1" t="s">
        <v>220</v>
      </c>
      <c r="B46" s="215">
        <v>2</v>
      </c>
      <c r="C46" s="255" t="s">
        <v>164</v>
      </c>
      <c r="D46" s="33"/>
      <c r="E46" s="25"/>
    </row>
    <row r="47" spans="1:11" x14ac:dyDescent="0.25">
      <c r="A47" s="1" t="s">
        <v>221</v>
      </c>
      <c r="B47" s="215">
        <v>1.5</v>
      </c>
      <c r="C47" s="255" t="s">
        <v>164</v>
      </c>
      <c r="D47" s="33"/>
      <c r="E47" s="25"/>
    </row>
    <row r="48" spans="1:11" x14ac:dyDescent="0.25">
      <c r="A48" s="1" t="s">
        <v>217</v>
      </c>
      <c r="B48" s="215">
        <v>2.5</v>
      </c>
      <c r="C48" s="255" t="s">
        <v>164</v>
      </c>
      <c r="D48" s="33"/>
      <c r="E48" s="25"/>
    </row>
    <row r="50" spans="1:12" x14ac:dyDescent="0.25">
      <c r="A50" s="239" t="s">
        <v>216</v>
      </c>
      <c r="B50" s="337"/>
      <c r="D50" s="33"/>
      <c r="E50" s="25"/>
    </row>
    <row r="51" spans="1:12" x14ac:dyDescent="0.25">
      <c r="A51" s="1" t="s">
        <v>220</v>
      </c>
      <c r="B51" s="215">
        <v>2</v>
      </c>
      <c r="C51" s="255" t="s">
        <v>164</v>
      </c>
      <c r="D51" s="33"/>
      <c r="E51" s="25"/>
    </row>
    <row r="52" spans="1:12" x14ac:dyDescent="0.25">
      <c r="A52" s="1" t="s">
        <v>218</v>
      </c>
      <c r="B52" s="215">
        <v>2</v>
      </c>
      <c r="C52" s="255" t="s">
        <v>164</v>
      </c>
      <c r="D52" s="33"/>
      <c r="E52" s="25"/>
    </row>
    <row r="53" spans="1:12" x14ac:dyDescent="0.25">
      <c r="A53" s="1" t="s">
        <v>219</v>
      </c>
      <c r="B53" s="215">
        <v>1.5</v>
      </c>
      <c r="C53" s="2" t="s">
        <v>222</v>
      </c>
      <c r="D53" s="33"/>
      <c r="E53" s="25"/>
    </row>
    <row r="54" spans="1:12" x14ac:dyDescent="0.25">
      <c r="A54" s="1" t="s">
        <v>217</v>
      </c>
      <c r="B54" s="215">
        <v>2.5</v>
      </c>
      <c r="C54" s="255" t="s">
        <v>164</v>
      </c>
      <c r="D54" s="33"/>
      <c r="E54" s="25"/>
    </row>
    <row r="55" spans="1:12" x14ac:dyDescent="0.25">
      <c r="A55" s="1"/>
      <c r="B55" s="33"/>
      <c r="C55" s="33"/>
      <c r="D55" s="33"/>
      <c r="E55" s="25"/>
    </row>
    <row r="56" spans="1:12" ht="15.75" x14ac:dyDescent="0.25">
      <c r="A56" s="241" t="s">
        <v>212</v>
      </c>
      <c r="B56" s="240">
        <v>0.05</v>
      </c>
      <c r="C56" s="33"/>
      <c r="D56" s="33"/>
      <c r="E56" s="25"/>
    </row>
    <row r="57" spans="1:12" x14ac:dyDescent="0.25">
      <c r="A57" s="1"/>
      <c r="B57" s="33"/>
      <c r="C57" s="33"/>
      <c r="D57" s="33"/>
      <c r="E57" s="25"/>
    </row>
    <row r="58" spans="1:12" ht="18.75" x14ac:dyDescent="0.3">
      <c r="A58" s="242" t="s">
        <v>20</v>
      </c>
      <c r="B58" s="33"/>
      <c r="C58" s="33"/>
      <c r="D58" s="33"/>
    </row>
    <row r="59" spans="1:12" x14ac:dyDescent="0.25">
      <c r="B59" s="33"/>
      <c r="C59" s="33"/>
      <c r="D59" s="33"/>
    </row>
    <row r="60" spans="1:12" x14ac:dyDescent="0.25">
      <c r="A60" s="226" t="s">
        <v>130</v>
      </c>
      <c r="B60" s="240">
        <v>0.05</v>
      </c>
      <c r="C60" s="213"/>
      <c r="D60" s="213"/>
    </row>
    <row r="61" spans="1:12" x14ac:dyDescent="0.25">
      <c r="A61" s="226"/>
      <c r="B61" s="213"/>
      <c r="C61" s="213"/>
      <c r="D61" s="213"/>
    </row>
    <row r="62" spans="1:12" s="1" customFormat="1" ht="15.75" x14ac:dyDescent="0.25">
      <c r="A62" s="214" t="s">
        <v>131</v>
      </c>
      <c r="B62" s="33"/>
      <c r="C62" s="249" t="s">
        <v>223</v>
      </c>
    </row>
    <row r="63" spans="1:12" ht="16.149999999999999" customHeight="1" x14ac:dyDescent="0.25">
      <c r="A63" s="1" t="s">
        <v>168</v>
      </c>
      <c r="B63" s="222">
        <v>20</v>
      </c>
      <c r="C63" s="259" t="s">
        <v>164</v>
      </c>
      <c r="D63" s="201"/>
      <c r="G63" s="3"/>
      <c r="H63" s="3"/>
      <c r="I63" s="3"/>
      <c r="J63" s="3"/>
      <c r="K63" s="3"/>
      <c r="L63" s="4"/>
    </row>
    <row r="64" spans="1:12" ht="16.149999999999999" customHeight="1" x14ac:dyDescent="0.25">
      <c r="A64" s="5" t="s">
        <v>163</v>
      </c>
      <c r="B64" s="222">
        <v>0.5</v>
      </c>
      <c r="C64" s="249" t="s">
        <v>224</v>
      </c>
      <c r="D64" s="201"/>
      <c r="F64" s="3"/>
      <c r="G64" s="3"/>
      <c r="H64" s="3"/>
      <c r="I64" s="3"/>
      <c r="J64" s="3"/>
      <c r="K64" s="3"/>
      <c r="L64" s="4"/>
    </row>
    <row r="65" spans="1:18" ht="16.149999999999999" customHeight="1" x14ac:dyDescent="0.25">
      <c r="A65" s="3"/>
      <c r="B65" s="338">
        <v>1</v>
      </c>
      <c r="C65" s="339" t="s">
        <v>225</v>
      </c>
      <c r="D65" s="201"/>
      <c r="F65" s="3"/>
      <c r="G65" s="3"/>
      <c r="H65" s="3"/>
      <c r="I65" s="3"/>
      <c r="J65" s="3"/>
      <c r="K65" s="3"/>
      <c r="L65" s="4"/>
    </row>
    <row r="66" spans="1:18" ht="16.149999999999999" customHeight="1" x14ac:dyDescent="0.25">
      <c r="A66" s="3"/>
      <c r="B66" s="338">
        <v>1.5</v>
      </c>
      <c r="C66" s="339" t="s">
        <v>225</v>
      </c>
      <c r="D66" s="201"/>
      <c r="F66" s="3"/>
      <c r="G66" s="3"/>
      <c r="H66" s="3"/>
      <c r="I66" s="3"/>
      <c r="J66" s="3"/>
      <c r="K66" s="3"/>
      <c r="L66" s="4"/>
    </row>
    <row r="67" spans="1:18" x14ac:dyDescent="0.25">
      <c r="B67" s="338">
        <v>2</v>
      </c>
      <c r="C67" s="339" t="s">
        <v>225</v>
      </c>
      <c r="D67" s="25"/>
      <c r="G67" s="3"/>
      <c r="H67" s="3"/>
      <c r="I67" s="3"/>
      <c r="J67" s="3"/>
      <c r="K67" s="3"/>
      <c r="L67" s="4"/>
    </row>
    <row r="68" spans="1:18" x14ac:dyDescent="0.25">
      <c r="A68" s="5"/>
      <c r="B68" s="3"/>
      <c r="C68" s="253"/>
      <c r="D68" s="3"/>
      <c r="E68" s="3"/>
      <c r="F68" s="3"/>
      <c r="G68" s="3"/>
      <c r="H68" s="3"/>
      <c r="I68" s="3"/>
      <c r="J68" s="3"/>
      <c r="K68" s="3"/>
      <c r="L68" s="4"/>
      <c r="R68" s="1"/>
    </row>
    <row r="69" spans="1:18" ht="15.75" x14ac:dyDescent="0.25">
      <c r="A69" s="241" t="s">
        <v>176</v>
      </c>
    </row>
    <row r="70" spans="1:18" x14ac:dyDescent="0.25">
      <c r="A70" s="243" t="s">
        <v>169</v>
      </c>
      <c r="B70" s="245" t="s">
        <v>170</v>
      </c>
      <c r="C70" s="260" t="s">
        <v>171</v>
      </c>
      <c r="D70" s="245" t="s">
        <v>172</v>
      </c>
    </row>
    <row r="71" spans="1:18" x14ac:dyDescent="0.25">
      <c r="A71" s="232" t="s">
        <v>173</v>
      </c>
      <c r="B71" s="246">
        <v>5</v>
      </c>
      <c r="C71" s="261">
        <v>10</v>
      </c>
      <c r="D71" s="246">
        <v>15</v>
      </c>
      <c r="E71" s="244" t="s">
        <v>142</v>
      </c>
    </row>
    <row r="72" spans="1:18" x14ac:dyDescent="0.25">
      <c r="A72" s="232" t="s">
        <v>174</v>
      </c>
      <c r="B72" s="246">
        <v>25</v>
      </c>
      <c r="C72" s="261">
        <v>35</v>
      </c>
      <c r="D72" s="246">
        <v>45</v>
      </c>
      <c r="E72" s="244" t="s">
        <v>142</v>
      </c>
    </row>
    <row r="73" spans="1:18" x14ac:dyDescent="0.25">
      <c r="A73" s="232" t="s">
        <v>175</v>
      </c>
      <c r="B73" s="246">
        <v>45</v>
      </c>
      <c r="C73" s="261">
        <v>55</v>
      </c>
      <c r="D73" s="246">
        <v>65</v>
      </c>
      <c r="E73" s="244" t="s">
        <v>142</v>
      </c>
    </row>
  </sheetData>
  <phoneticPr fontId="5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1"/>
  <sheetViews>
    <sheetView topLeftCell="A14" workbookViewId="0">
      <selection activeCell="F22" sqref="F22"/>
    </sheetView>
  </sheetViews>
  <sheetFormatPr baseColWidth="10" defaultColWidth="11.5703125" defaultRowHeight="15" x14ac:dyDescent="0.25"/>
  <sheetData>
    <row r="1" spans="1:6" x14ac:dyDescent="0.25">
      <c r="A1" t="s">
        <v>3</v>
      </c>
      <c r="B1" t="s">
        <v>11</v>
      </c>
      <c r="C1" t="s">
        <v>3</v>
      </c>
      <c r="D1" t="s">
        <v>12</v>
      </c>
      <c r="E1" t="s">
        <v>17</v>
      </c>
      <c r="F1" t="s">
        <v>18</v>
      </c>
    </row>
    <row r="2" spans="1:6" x14ac:dyDescent="0.25">
      <c r="A2">
        <v>11</v>
      </c>
      <c r="B2">
        <f>(A2-10)*0.2</f>
        <v>0.2</v>
      </c>
      <c r="C2">
        <v>21</v>
      </c>
      <c r="D2">
        <f>(C2-20)*Satser!$B$13</f>
        <v>0.2</v>
      </c>
      <c r="E2">
        <v>1</v>
      </c>
      <c r="F2" t="e">
        <f>Satser!#REF!*Satser!$B$1*'Ark2'!E2</f>
        <v>#REF!</v>
      </c>
    </row>
    <row r="3" spans="1:6" x14ac:dyDescent="0.25">
      <c r="A3">
        <v>12</v>
      </c>
      <c r="B3">
        <f t="shared" ref="B3:B41" si="0">(A3-10)*0.2</f>
        <v>0.4</v>
      </c>
      <c r="C3">
        <v>22</v>
      </c>
      <c r="D3">
        <f>(C3-20)*Satser!$B$13</f>
        <v>0.4</v>
      </c>
      <c r="E3">
        <v>2</v>
      </c>
      <c r="F3" t="e">
        <f>Satser!#REF!*Satser!$B$1*'Ark2'!E3</f>
        <v>#REF!</v>
      </c>
    </row>
    <row r="4" spans="1:6" x14ac:dyDescent="0.25">
      <c r="A4">
        <v>13</v>
      </c>
      <c r="B4">
        <f t="shared" si="0"/>
        <v>0.60000000000000009</v>
      </c>
      <c r="C4">
        <v>23</v>
      </c>
      <c r="D4">
        <f>(C4-20)*Satser!$B$13</f>
        <v>0.60000000000000009</v>
      </c>
      <c r="E4">
        <v>3</v>
      </c>
      <c r="F4" t="e">
        <f>Satser!#REF!*Satser!$B$1*'Ark2'!E4</f>
        <v>#REF!</v>
      </c>
    </row>
    <row r="5" spans="1:6" x14ac:dyDescent="0.25">
      <c r="A5">
        <v>14</v>
      </c>
      <c r="B5">
        <f t="shared" si="0"/>
        <v>0.8</v>
      </c>
      <c r="C5">
        <v>24</v>
      </c>
      <c r="D5">
        <f>(C5-20)*Satser!$B$13</f>
        <v>0.8</v>
      </c>
      <c r="E5">
        <v>4</v>
      </c>
      <c r="F5" t="e">
        <f>Satser!#REF!*Satser!$B$1*'Ark2'!E5</f>
        <v>#REF!</v>
      </c>
    </row>
    <row r="6" spans="1:6" x14ac:dyDescent="0.25">
      <c r="A6">
        <v>15</v>
      </c>
      <c r="B6">
        <f t="shared" si="0"/>
        <v>1</v>
      </c>
      <c r="C6">
        <v>25</v>
      </c>
      <c r="D6">
        <f>(C6-20)*Satser!$B$13</f>
        <v>1</v>
      </c>
      <c r="E6">
        <v>5</v>
      </c>
      <c r="F6" t="e">
        <f>Satser!#REF!*Satser!$B$1*'Ark2'!E6</f>
        <v>#REF!</v>
      </c>
    </row>
    <row r="7" spans="1:6" x14ac:dyDescent="0.25">
      <c r="A7">
        <v>16</v>
      </c>
      <c r="B7">
        <f t="shared" si="0"/>
        <v>1.2000000000000002</v>
      </c>
      <c r="C7">
        <v>26</v>
      </c>
      <c r="D7">
        <f>(C7-20)*Satser!$B$13</f>
        <v>1.2000000000000002</v>
      </c>
      <c r="E7">
        <v>6</v>
      </c>
      <c r="F7" t="e">
        <f>Satser!#REF!*Satser!$B$1*'Ark2'!E7</f>
        <v>#REF!</v>
      </c>
    </row>
    <row r="8" spans="1:6" x14ac:dyDescent="0.25">
      <c r="A8">
        <v>17</v>
      </c>
      <c r="B8">
        <f t="shared" si="0"/>
        <v>1.4000000000000001</v>
      </c>
      <c r="C8">
        <v>27</v>
      </c>
      <c r="D8">
        <f>(C8-20)*Satser!$B$13</f>
        <v>1.4000000000000001</v>
      </c>
      <c r="E8">
        <v>7</v>
      </c>
      <c r="F8" t="e">
        <f>Satser!#REF!*Satser!$B$1*'Ark2'!E8</f>
        <v>#REF!</v>
      </c>
    </row>
    <row r="9" spans="1:6" x14ac:dyDescent="0.25">
      <c r="A9">
        <v>18</v>
      </c>
      <c r="B9">
        <f t="shared" si="0"/>
        <v>1.6</v>
      </c>
      <c r="C9">
        <v>28</v>
      </c>
      <c r="D9">
        <f>(C9-20)*Satser!$B$13</f>
        <v>1.6</v>
      </c>
      <c r="E9">
        <v>8</v>
      </c>
      <c r="F9" t="e">
        <f>Satser!#REF!*Satser!$B$1*'Ark2'!E9</f>
        <v>#REF!</v>
      </c>
    </row>
    <row r="10" spans="1:6" x14ac:dyDescent="0.25">
      <c r="A10">
        <v>19</v>
      </c>
      <c r="B10">
        <f t="shared" si="0"/>
        <v>1.8</v>
      </c>
      <c r="C10">
        <v>29</v>
      </c>
      <c r="D10">
        <f>(C10-20)*Satser!$B$13</f>
        <v>1.8</v>
      </c>
      <c r="E10">
        <v>9</v>
      </c>
      <c r="F10" t="e">
        <f>Satser!#REF!*Satser!$B$1*'Ark2'!E10</f>
        <v>#REF!</v>
      </c>
    </row>
    <row r="11" spans="1:6" x14ac:dyDescent="0.25">
      <c r="A11">
        <v>20</v>
      </c>
      <c r="B11">
        <f t="shared" si="0"/>
        <v>2</v>
      </c>
      <c r="C11">
        <v>30</v>
      </c>
      <c r="D11">
        <f>(C11-20)*Satser!$B$13</f>
        <v>2</v>
      </c>
      <c r="E11">
        <v>10</v>
      </c>
      <c r="F11" t="e">
        <f>Satser!#REF!*Satser!$B$1*'Ark2'!E11</f>
        <v>#REF!</v>
      </c>
    </row>
    <row r="12" spans="1:6" x14ac:dyDescent="0.25">
      <c r="A12">
        <v>21</v>
      </c>
      <c r="B12">
        <f t="shared" si="0"/>
        <v>2.2000000000000002</v>
      </c>
      <c r="C12">
        <v>31</v>
      </c>
      <c r="D12">
        <f>(C12-20)*Satser!$B$13</f>
        <v>2.2000000000000002</v>
      </c>
      <c r="E12">
        <v>11</v>
      </c>
      <c r="F12" t="e">
        <f>Satser!#REF!*Satser!$B$1*'Ark2'!E12</f>
        <v>#REF!</v>
      </c>
    </row>
    <row r="13" spans="1:6" x14ac:dyDescent="0.25">
      <c r="A13">
        <v>22</v>
      </c>
      <c r="B13">
        <f t="shared" si="0"/>
        <v>2.4000000000000004</v>
      </c>
      <c r="C13">
        <v>32</v>
      </c>
      <c r="D13">
        <f>(C13-20)*Satser!$B$13</f>
        <v>2.4000000000000004</v>
      </c>
      <c r="E13">
        <v>12</v>
      </c>
      <c r="F13" t="e">
        <f>Satser!#REF!*Satser!$B$1*'Ark2'!E13</f>
        <v>#REF!</v>
      </c>
    </row>
    <row r="14" spans="1:6" x14ac:dyDescent="0.25">
      <c r="A14">
        <v>23</v>
      </c>
      <c r="B14">
        <f t="shared" si="0"/>
        <v>2.6</v>
      </c>
      <c r="C14">
        <v>33</v>
      </c>
      <c r="D14">
        <f>(C14-20)*Satser!$B$13</f>
        <v>2.6</v>
      </c>
      <c r="E14">
        <v>13</v>
      </c>
      <c r="F14" t="e">
        <f>Satser!#REF!*Satser!$B$1*'Ark2'!E14</f>
        <v>#REF!</v>
      </c>
    </row>
    <row r="15" spans="1:6" x14ac:dyDescent="0.25">
      <c r="A15">
        <v>24</v>
      </c>
      <c r="B15">
        <f t="shared" si="0"/>
        <v>2.8000000000000003</v>
      </c>
      <c r="C15">
        <v>34</v>
      </c>
      <c r="D15">
        <f>(C15-20)*Satser!$B$13</f>
        <v>2.8000000000000003</v>
      </c>
      <c r="E15">
        <v>14</v>
      </c>
      <c r="F15" t="e">
        <f>Satser!#REF!*Satser!$B$1*'Ark2'!E15</f>
        <v>#REF!</v>
      </c>
    </row>
    <row r="16" spans="1:6" x14ac:dyDescent="0.25">
      <c r="A16">
        <v>25</v>
      </c>
      <c r="B16">
        <f t="shared" si="0"/>
        <v>3</v>
      </c>
      <c r="C16">
        <v>35</v>
      </c>
      <c r="D16">
        <f>(C16-20)*Satser!$B$13</f>
        <v>3</v>
      </c>
      <c r="E16">
        <v>15</v>
      </c>
      <c r="F16" t="e">
        <f>Satser!#REF!*Satser!$B$1*'Ark2'!E16</f>
        <v>#REF!</v>
      </c>
    </row>
    <row r="17" spans="1:6" x14ac:dyDescent="0.25">
      <c r="A17">
        <v>26</v>
      </c>
      <c r="B17">
        <f t="shared" si="0"/>
        <v>3.2</v>
      </c>
      <c r="C17">
        <v>36</v>
      </c>
      <c r="D17">
        <f>(C17-20)*Satser!$B$13</f>
        <v>3.2</v>
      </c>
      <c r="E17">
        <v>16</v>
      </c>
      <c r="F17" t="e">
        <f>Satser!#REF!*Satser!$B$1*'Ark2'!E17</f>
        <v>#REF!</v>
      </c>
    </row>
    <row r="18" spans="1:6" x14ac:dyDescent="0.25">
      <c r="A18">
        <v>27</v>
      </c>
      <c r="B18">
        <f t="shared" si="0"/>
        <v>3.4000000000000004</v>
      </c>
      <c r="C18">
        <v>37</v>
      </c>
      <c r="D18">
        <f>(C18-20)*Satser!$B$13</f>
        <v>3.4000000000000004</v>
      </c>
      <c r="E18">
        <v>17</v>
      </c>
      <c r="F18" t="e">
        <f>Satser!#REF!*Satser!$B$1*'Ark2'!E18</f>
        <v>#REF!</v>
      </c>
    </row>
    <row r="19" spans="1:6" x14ac:dyDescent="0.25">
      <c r="A19">
        <v>28</v>
      </c>
      <c r="B19">
        <f t="shared" si="0"/>
        <v>3.6</v>
      </c>
      <c r="C19">
        <v>38</v>
      </c>
      <c r="D19">
        <f>(C19-20)*Satser!$B$13</f>
        <v>3.6</v>
      </c>
      <c r="E19">
        <v>18</v>
      </c>
      <c r="F19" t="e">
        <f>Satser!#REF!*Satser!$B$1*'Ark2'!E19</f>
        <v>#REF!</v>
      </c>
    </row>
    <row r="20" spans="1:6" x14ac:dyDescent="0.25">
      <c r="A20">
        <v>29</v>
      </c>
      <c r="B20">
        <f t="shared" si="0"/>
        <v>3.8000000000000003</v>
      </c>
      <c r="C20">
        <v>39</v>
      </c>
      <c r="D20">
        <f>(C20-20)*Satser!$B$13</f>
        <v>3.8000000000000003</v>
      </c>
      <c r="E20">
        <v>19</v>
      </c>
      <c r="F20" t="e">
        <f>Satser!#REF!*Satser!$B$1*'Ark2'!E20</f>
        <v>#REF!</v>
      </c>
    </row>
    <row r="21" spans="1:6" x14ac:dyDescent="0.25">
      <c r="A21">
        <v>30</v>
      </c>
      <c r="B21">
        <f t="shared" si="0"/>
        <v>4</v>
      </c>
      <c r="C21">
        <v>40</v>
      </c>
      <c r="D21">
        <f>(C21-20)*Satser!$B$13</f>
        <v>4</v>
      </c>
      <c r="E21">
        <v>20</v>
      </c>
      <c r="F21" t="e">
        <f>Satser!#REF!*Satser!$B$1*'Ark2'!E21</f>
        <v>#REF!</v>
      </c>
    </row>
    <row r="22" spans="1:6" x14ac:dyDescent="0.25">
      <c r="A22">
        <v>31</v>
      </c>
      <c r="B22">
        <f t="shared" si="0"/>
        <v>4.2</v>
      </c>
      <c r="C22">
        <v>41</v>
      </c>
      <c r="D22">
        <f>(C22-20)*Satser!$B$13</f>
        <v>4.2</v>
      </c>
      <c r="E22">
        <v>21</v>
      </c>
      <c r="F22" t="e">
        <f>Satser!#REF!*Satser!$B$1*'Ark2'!E22</f>
        <v>#REF!</v>
      </c>
    </row>
    <row r="23" spans="1:6" x14ac:dyDescent="0.25">
      <c r="A23">
        <v>32</v>
      </c>
      <c r="B23">
        <f t="shared" si="0"/>
        <v>4.4000000000000004</v>
      </c>
      <c r="C23">
        <v>42</v>
      </c>
      <c r="D23">
        <f>(C23-20)*Satser!$B$13</f>
        <v>4.4000000000000004</v>
      </c>
      <c r="E23">
        <v>22</v>
      </c>
      <c r="F23" t="e">
        <f>Satser!#REF!*Satser!$B$1*'Ark2'!E23</f>
        <v>#REF!</v>
      </c>
    </row>
    <row r="24" spans="1:6" x14ac:dyDescent="0.25">
      <c r="A24">
        <v>33</v>
      </c>
      <c r="B24">
        <f t="shared" si="0"/>
        <v>4.6000000000000005</v>
      </c>
      <c r="C24">
        <v>43</v>
      </c>
      <c r="D24">
        <f>(C24-20)*Satser!$B$13</f>
        <v>4.6000000000000005</v>
      </c>
      <c r="E24">
        <v>23</v>
      </c>
      <c r="F24" t="e">
        <f>Satser!#REF!*Satser!$B$1*'Ark2'!E24</f>
        <v>#REF!</v>
      </c>
    </row>
    <row r="25" spans="1:6" x14ac:dyDescent="0.25">
      <c r="A25">
        <v>34</v>
      </c>
      <c r="B25">
        <f t="shared" si="0"/>
        <v>4.8000000000000007</v>
      </c>
      <c r="C25">
        <v>44</v>
      </c>
      <c r="D25">
        <f>(C25-20)*Satser!$B$13</f>
        <v>4.8000000000000007</v>
      </c>
      <c r="E25">
        <v>24</v>
      </c>
      <c r="F25" t="e">
        <f>Satser!#REF!*Satser!$B$1*'Ark2'!E25</f>
        <v>#REF!</v>
      </c>
    </row>
    <row r="26" spans="1:6" x14ac:dyDescent="0.25">
      <c r="A26">
        <v>35</v>
      </c>
      <c r="B26">
        <f t="shared" si="0"/>
        <v>5</v>
      </c>
      <c r="C26">
        <v>45</v>
      </c>
      <c r="D26">
        <f>(C26-20)*Satser!$B$13</f>
        <v>5</v>
      </c>
      <c r="E26">
        <v>25</v>
      </c>
      <c r="F26" t="e">
        <f>Satser!#REF!*Satser!$B$1*'Ark2'!E26</f>
        <v>#REF!</v>
      </c>
    </row>
    <row r="27" spans="1:6" x14ac:dyDescent="0.25">
      <c r="A27">
        <v>36</v>
      </c>
      <c r="B27">
        <f t="shared" si="0"/>
        <v>5.2</v>
      </c>
      <c r="C27">
        <v>46</v>
      </c>
      <c r="D27">
        <f>(C27-20)*Satser!$B$13</f>
        <v>5.2</v>
      </c>
      <c r="E27">
        <v>26</v>
      </c>
      <c r="F27" t="e">
        <f>Satser!#REF!*Satser!$B$1*'Ark2'!E27</f>
        <v>#REF!</v>
      </c>
    </row>
    <row r="28" spans="1:6" x14ac:dyDescent="0.25">
      <c r="A28">
        <v>37</v>
      </c>
      <c r="B28">
        <f t="shared" si="0"/>
        <v>5.4</v>
      </c>
      <c r="C28">
        <v>47</v>
      </c>
      <c r="D28">
        <f>(C28-20)*Satser!$B$13</f>
        <v>5.4</v>
      </c>
      <c r="E28">
        <v>27</v>
      </c>
      <c r="F28" t="e">
        <f>Satser!#REF!*Satser!$B$1*'Ark2'!E28</f>
        <v>#REF!</v>
      </c>
    </row>
    <row r="29" spans="1:6" x14ac:dyDescent="0.25">
      <c r="A29">
        <v>38</v>
      </c>
      <c r="B29">
        <f t="shared" si="0"/>
        <v>5.6000000000000005</v>
      </c>
      <c r="C29">
        <v>48</v>
      </c>
      <c r="D29">
        <f>(C29-20)*Satser!$B$13</f>
        <v>5.6000000000000005</v>
      </c>
      <c r="E29">
        <v>28</v>
      </c>
      <c r="F29" t="e">
        <f>Satser!#REF!*Satser!$B$1*'Ark2'!E29</f>
        <v>#REF!</v>
      </c>
    </row>
    <row r="30" spans="1:6" x14ac:dyDescent="0.25">
      <c r="A30">
        <v>39</v>
      </c>
      <c r="B30">
        <f t="shared" si="0"/>
        <v>5.8000000000000007</v>
      </c>
      <c r="C30">
        <v>49</v>
      </c>
      <c r="D30">
        <f>(C30-20)*Satser!$B$13</f>
        <v>5.8000000000000007</v>
      </c>
      <c r="E30">
        <v>29</v>
      </c>
      <c r="F30" t="e">
        <f>Satser!#REF!*Satser!$B$1*'Ark2'!E30</f>
        <v>#REF!</v>
      </c>
    </row>
    <row r="31" spans="1:6" x14ac:dyDescent="0.25">
      <c r="A31">
        <v>40</v>
      </c>
      <c r="B31">
        <f t="shared" si="0"/>
        <v>6</v>
      </c>
      <c r="C31">
        <v>50</v>
      </c>
      <c r="D31">
        <f>(C31-20)*Satser!$B$13</f>
        <v>6</v>
      </c>
      <c r="E31">
        <v>30</v>
      </c>
      <c r="F31" t="e">
        <f>Satser!#REF!*Satser!$B$1*'Ark2'!E31</f>
        <v>#REF!</v>
      </c>
    </row>
    <row r="32" spans="1:6" x14ac:dyDescent="0.25">
      <c r="A32">
        <v>41</v>
      </c>
      <c r="B32">
        <f t="shared" si="0"/>
        <v>6.2</v>
      </c>
      <c r="C32">
        <v>51</v>
      </c>
      <c r="D32">
        <f>((C32-50)*Satser!$B$14)+$D$31</f>
        <v>6.1</v>
      </c>
      <c r="E32">
        <v>31</v>
      </c>
      <c r="F32" t="e">
        <f>Satser!#REF!*Satser!$B$1*'Ark2'!E32</f>
        <v>#REF!</v>
      </c>
    </row>
    <row r="33" spans="1:6" x14ac:dyDescent="0.25">
      <c r="A33">
        <v>42</v>
      </c>
      <c r="B33">
        <f t="shared" si="0"/>
        <v>6.4</v>
      </c>
      <c r="C33">
        <v>52</v>
      </c>
      <c r="D33">
        <f>((C33-50)*Satser!$B$14)+$D$31</f>
        <v>6.2</v>
      </c>
      <c r="E33">
        <v>32</v>
      </c>
      <c r="F33" t="e">
        <f>Satser!#REF!*Satser!$B$1*'Ark2'!E33</f>
        <v>#REF!</v>
      </c>
    </row>
    <row r="34" spans="1:6" x14ac:dyDescent="0.25">
      <c r="A34">
        <v>43</v>
      </c>
      <c r="B34">
        <f t="shared" si="0"/>
        <v>6.6000000000000005</v>
      </c>
      <c r="C34">
        <v>53</v>
      </c>
      <c r="D34">
        <f>((C34-50)*Satser!$B$14)+$D$31</f>
        <v>6.3</v>
      </c>
      <c r="E34">
        <v>33</v>
      </c>
      <c r="F34" t="e">
        <f>Satser!#REF!*Satser!$B$1*'Ark2'!E34</f>
        <v>#REF!</v>
      </c>
    </row>
    <row r="35" spans="1:6" x14ac:dyDescent="0.25">
      <c r="A35">
        <v>44</v>
      </c>
      <c r="B35">
        <f t="shared" si="0"/>
        <v>6.8000000000000007</v>
      </c>
      <c r="C35">
        <v>54</v>
      </c>
      <c r="D35">
        <f>((C35-50)*Satser!$B$14)+$D$31</f>
        <v>6.4</v>
      </c>
      <c r="E35">
        <v>34</v>
      </c>
      <c r="F35" t="e">
        <f>Satser!#REF!*Satser!$B$1*'Ark2'!E35</f>
        <v>#REF!</v>
      </c>
    </row>
    <row r="36" spans="1:6" x14ac:dyDescent="0.25">
      <c r="A36">
        <v>45</v>
      </c>
      <c r="B36">
        <f t="shared" si="0"/>
        <v>7</v>
      </c>
      <c r="C36">
        <v>55</v>
      </c>
      <c r="D36">
        <f>((C36-50)*Satser!$B$14)+$D$31</f>
        <v>6.5</v>
      </c>
      <c r="E36">
        <v>35</v>
      </c>
      <c r="F36" t="e">
        <f>Satser!#REF!*Satser!$B$1*'Ark2'!E36</f>
        <v>#REF!</v>
      </c>
    </row>
    <row r="37" spans="1:6" x14ac:dyDescent="0.25">
      <c r="A37">
        <v>46</v>
      </c>
      <c r="B37">
        <f t="shared" si="0"/>
        <v>7.2</v>
      </c>
      <c r="C37">
        <v>56</v>
      </c>
      <c r="D37">
        <f>((C37-50)*Satser!$B$14)+$D$31</f>
        <v>6.6</v>
      </c>
      <c r="E37">
        <v>36</v>
      </c>
      <c r="F37" t="e">
        <f>Satser!#REF!*Satser!$B$1*'Ark2'!E37</f>
        <v>#REF!</v>
      </c>
    </row>
    <row r="38" spans="1:6" x14ac:dyDescent="0.25">
      <c r="A38">
        <v>47</v>
      </c>
      <c r="B38">
        <f t="shared" si="0"/>
        <v>7.4</v>
      </c>
      <c r="C38">
        <v>57</v>
      </c>
      <c r="D38">
        <f>((C38-50)*Satser!$B$14)+$D$31</f>
        <v>6.7</v>
      </c>
      <c r="E38">
        <v>37</v>
      </c>
      <c r="F38" t="e">
        <f>Satser!#REF!*Satser!$B$1*'Ark2'!E38</f>
        <v>#REF!</v>
      </c>
    </row>
    <row r="39" spans="1:6" x14ac:dyDescent="0.25">
      <c r="A39">
        <v>48</v>
      </c>
      <c r="B39">
        <f t="shared" si="0"/>
        <v>7.6000000000000005</v>
      </c>
      <c r="C39">
        <v>58</v>
      </c>
      <c r="D39">
        <f>((C39-50)*Satser!$B$14)+$D$31</f>
        <v>6.8</v>
      </c>
      <c r="E39">
        <v>38</v>
      </c>
      <c r="F39" t="e">
        <f>Satser!#REF!*Satser!$B$1*'Ark2'!E39</f>
        <v>#REF!</v>
      </c>
    </row>
    <row r="40" spans="1:6" x14ac:dyDescent="0.25">
      <c r="A40">
        <v>49</v>
      </c>
      <c r="B40">
        <f t="shared" si="0"/>
        <v>7.8000000000000007</v>
      </c>
      <c r="C40">
        <v>59</v>
      </c>
      <c r="D40">
        <f>((C40-50)*Satser!$B$14)+$D$31</f>
        <v>6.9</v>
      </c>
      <c r="E40">
        <v>39</v>
      </c>
      <c r="F40" t="e">
        <f>Satser!#REF!*Satser!$B$1*'Ark2'!E40</f>
        <v>#REF!</v>
      </c>
    </row>
    <row r="41" spans="1:6" x14ac:dyDescent="0.25">
      <c r="A41">
        <v>50</v>
      </c>
      <c r="B41">
        <f t="shared" si="0"/>
        <v>8</v>
      </c>
      <c r="C41">
        <v>60</v>
      </c>
      <c r="D41">
        <f>((C41-50)*Satser!$B$14)+$D$31</f>
        <v>7</v>
      </c>
      <c r="E41">
        <v>40</v>
      </c>
      <c r="F41" t="e">
        <f>Satser!#REF!*Satser!$B$1*'Ark2'!E41</f>
        <v>#REF!</v>
      </c>
    </row>
    <row r="42" spans="1:6" x14ac:dyDescent="0.25">
      <c r="A42">
        <v>51</v>
      </c>
      <c r="B42">
        <f>((A42-50)*0.1)+$B$41</f>
        <v>8.1</v>
      </c>
      <c r="C42">
        <v>61</v>
      </c>
      <c r="D42">
        <f>((C42-50)*Satser!$B$14)+$D$31</f>
        <v>7.1</v>
      </c>
      <c r="E42">
        <v>41</v>
      </c>
      <c r="F42" t="e">
        <f>Satser!#REF!*Satser!$B$1*'Ark2'!E42</f>
        <v>#REF!</v>
      </c>
    </row>
    <row r="43" spans="1:6" x14ac:dyDescent="0.25">
      <c r="A43">
        <v>52</v>
      </c>
      <c r="B43">
        <f t="shared" ref="B43:B106" si="1">((A43-50)*0.1)+$B$41</f>
        <v>8.1999999999999993</v>
      </c>
      <c r="C43">
        <v>62</v>
      </c>
      <c r="D43">
        <f>((C43-50)*Satser!$B$14)+$D$31</f>
        <v>7.2</v>
      </c>
      <c r="E43">
        <v>42</v>
      </c>
      <c r="F43" t="e">
        <f>Satser!#REF!*Satser!$B$1*'Ark2'!E43</f>
        <v>#REF!</v>
      </c>
    </row>
    <row r="44" spans="1:6" x14ac:dyDescent="0.25">
      <c r="A44">
        <v>53</v>
      </c>
      <c r="B44">
        <f t="shared" si="1"/>
        <v>8.3000000000000007</v>
      </c>
      <c r="C44">
        <v>63</v>
      </c>
      <c r="D44">
        <f>((C44-50)*Satser!$B$14)+$D$31</f>
        <v>7.3</v>
      </c>
      <c r="E44">
        <v>43</v>
      </c>
      <c r="F44" t="e">
        <f>Satser!#REF!*Satser!$B$1*'Ark2'!E44</f>
        <v>#REF!</v>
      </c>
    </row>
    <row r="45" spans="1:6" x14ac:dyDescent="0.25">
      <c r="A45">
        <v>54</v>
      </c>
      <c r="B45">
        <f t="shared" si="1"/>
        <v>8.4</v>
      </c>
      <c r="C45">
        <v>64</v>
      </c>
      <c r="D45">
        <f>((C45-50)*Satser!$B$14)+$D$31</f>
        <v>7.4</v>
      </c>
      <c r="E45">
        <v>44</v>
      </c>
      <c r="F45" t="e">
        <f>Satser!#REF!*Satser!$B$1*'Ark2'!E45</f>
        <v>#REF!</v>
      </c>
    </row>
    <row r="46" spans="1:6" x14ac:dyDescent="0.25">
      <c r="A46">
        <v>55</v>
      </c>
      <c r="B46">
        <f t="shared" si="1"/>
        <v>8.5</v>
      </c>
      <c r="C46">
        <v>65</v>
      </c>
      <c r="D46">
        <f>((C46-50)*Satser!$B$14)+$D$31</f>
        <v>7.5</v>
      </c>
      <c r="E46">
        <v>45</v>
      </c>
      <c r="F46" t="e">
        <f>Satser!#REF!*Satser!$B$1*'Ark2'!E46</f>
        <v>#REF!</v>
      </c>
    </row>
    <row r="47" spans="1:6" x14ac:dyDescent="0.25">
      <c r="A47">
        <v>56</v>
      </c>
      <c r="B47">
        <f t="shared" si="1"/>
        <v>8.6</v>
      </c>
      <c r="C47">
        <v>66</v>
      </c>
      <c r="D47">
        <f>((C47-50)*Satser!$B$14)+$D$31</f>
        <v>7.6</v>
      </c>
      <c r="E47">
        <v>46</v>
      </c>
      <c r="F47" t="e">
        <f>Satser!#REF!*Satser!$B$1*'Ark2'!E47</f>
        <v>#REF!</v>
      </c>
    </row>
    <row r="48" spans="1:6" x14ac:dyDescent="0.25">
      <c r="A48">
        <v>57</v>
      </c>
      <c r="B48">
        <f t="shared" si="1"/>
        <v>8.6999999999999993</v>
      </c>
      <c r="C48">
        <v>67</v>
      </c>
      <c r="D48">
        <f>((C48-50)*Satser!$B$14)+$D$31</f>
        <v>7.7</v>
      </c>
      <c r="E48">
        <v>47</v>
      </c>
      <c r="F48" t="e">
        <f>Satser!#REF!*Satser!$B$1*'Ark2'!E48</f>
        <v>#REF!</v>
      </c>
    </row>
    <row r="49" spans="1:6" x14ac:dyDescent="0.25">
      <c r="A49">
        <v>58</v>
      </c>
      <c r="B49">
        <f t="shared" si="1"/>
        <v>8.8000000000000007</v>
      </c>
      <c r="C49">
        <v>68</v>
      </c>
      <c r="D49">
        <f>((C49-50)*Satser!$B$14)+$D$31</f>
        <v>7.8</v>
      </c>
      <c r="E49">
        <v>48</v>
      </c>
      <c r="F49" t="e">
        <f>Satser!#REF!*Satser!$B$1*'Ark2'!E49</f>
        <v>#REF!</v>
      </c>
    </row>
    <row r="50" spans="1:6" x14ac:dyDescent="0.25">
      <c r="A50">
        <v>59</v>
      </c>
      <c r="B50">
        <f t="shared" si="1"/>
        <v>8.9</v>
      </c>
      <c r="C50">
        <v>69</v>
      </c>
      <c r="D50">
        <f>((C50-50)*Satser!$B$14)+$D$31</f>
        <v>7.9</v>
      </c>
      <c r="E50">
        <v>49</v>
      </c>
      <c r="F50" t="e">
        <f>Satser!#REF!*Satser!$B$1*'Ark2'!E50</f>
        <v>#REF!</v>
      </c>
    </row>
    <row r="51" spans="1:6" x14ac:dyDescent="0.25">
      <c r="A51">
        <v>60</v>
      </c>
      <c r="B51">
        <f t="shared" si="1"/>
        <v>9</v>
      </c>
      <c r="C51">
        <v>70</v>
      </c>
      <c r="D51">
        <f>((C51-50)*Satser!$B$14)+$D$31</f>
        <v>8</v>
      </c>
      <c r="E51">
        <v>50</v>
      </c>
      <c r="F51" t="e">
        <f>Satser!#REF!*Satser!$B$1*'Ark2'!E51</f>
        <v>#REF!</v>
      </c>
    </row>
    <row r="52" spans="1:6" x14ac:dyDescent="0.25">
      <c r="A52">
        <v>61</v>
      </c>
      <c r="B52">
        <f t="shared" si="1"/>
        <v>9.1</v>
      </c>
      <c r="C52">
        <v>71</v>
      </c>
      <c r="D52">
        <f>((C52-50)*Satser!$B$14)+$D$31</f>
        <v>8.1</v>
      </c>
      <c r="E52">
        <v>51</v>
      </c>
      <c r="F52" t="e">
        <f>((E52-50)*Satser!#REF!)+$F$51</f>
        <v>#REF!</v>
      </c>
    </row>
    <row r="53" spans="1:6" x14ac:dyDescent="0.25">
      <c r="A53">
        <v>62</v>
      </c>
      <c r="B53">
        <f t="shared" si="1"/>
        <v>9.1999999999999993</v>
      </c>
      <c r="C53">
        <v>72</v>
      </c>
      <c r="D53">
        <f>((C53-50)*Satser!$B$14)+$D$31</f>
        <v>8.1999999999999993</v>
      </c>
      <c r="E53">
        <v>52</v>
      </c>
      <c r="F53" t="e">
        <f>((E53-50)*Satser!#REF!)+$F$51</f>
        <v>#REF!</v>
      </c>
    </row>
    <row r="54" spans="1:6" x14ac:dyDescent="0.25">
      <c r="A54">
        <v>63</v>
      </c>
      <c r="B54">
        <f t="shared" si="1"/>
        <v>9.3000000000000007</v>
      </c>
      <c r="C54">
        <v>73</v>
      </c>
      <c r="D54">
        <f>((C54-50)*Satser!$B$14)+$D$31</f>
        <v>8.3000000000000007</v>
      </c>
      <c r="E54">
        <v>53</v>
      </c>
      <c r="F54" t="e">
        <f>((E54-50)*Satser!#REF!)+$F$51</f>
        <v>#REF!</v>
      </c>
    </row>
    <row r="55" spans="1:6" x14ac:dyDescent="0.25">
      <c r="A55">
        <v>64</v>
      </c>
      <c r="B55">
        <f t="shared" si="1"/>
        <v>9.4</v>
      </c>
      <c r="C55">
        <v>74</v>
      </c>
      <c r="D55">
        <f>((C55-50)*Satser!$B$14)+$D$31</f>
        <v>8.4</v>
      </c>
      <c r="E55">
        <v>54</v>
      </c>
      <c r="F55" t="e">
        <f>((E55-50)*Satser!#REF!)+$F$51</f>
        <v>#REF!</v>
      </c>
    </row>
    <row r="56" spans="1:6" x14ac:dyDescent="0.25">
      <c r="A56">
        <v>65</v>
      </c>
      <c r="B56">
        <f t="shared" si="1"/>
        <v>9.5</v>
      </c>
      <c r="C56">
        <v>75</v>
      </c>
      <c r="D56">
        <f>((C56-50)*Satser!$B$14)+$D$31</f>
        <v>8.5</v>
      </c>
      <c r="E56">
        <v>55</v>
      </c>
      <c r="F56" t="e">
        <f>((E56-50)*Satser!#REF!)+$F$51</f>
        <v>#REF!</v>
      </c>
    </row>
    <row r="57" spans="1:6" x14ac:dyDescent="0.25">
      <c r="A57">
        <v>66</v>
      </c>
      <c r="B57">
        <f t="shared" si="1"/>
        <v>9.6</v>
      </c>
      <c r="C57">
        <v>76</v>
      </c>
      <c r="D57">
        <f>((C57-50)*Satser!$B$14)+$D$31</f>
        <v>8.6</v>
      </c>
      <c r="E57">
        <v>56</v>
      </c>
      <c r="F57" t="e">
        <f>((E57-50)*Satser!#REF!)+$F$51</f>
        <v>#REF!</v>
      </c>
    </row>
    <row r="58" spans="1:6" x14ac:dyDescent="0.25">
      <c r="A58">
        <v>67</v>
      </c>
      <c r="B58">
        <f t="shared" si="1"/>
        <v>9.6999999999999993</v>
      </c>
      <c r="C58">
        <v>77</v>
      </c>
      <c r="D58">
        <f>((C58-50)*Satser!$B$14)+$D$31</f>
        <v>8.6999999999999993</v>
      </c>
      <c r="E58">
        <v>57</v>
      </c>
      <c r="F58" t="e">
        <f>((E58-50)*Satser!#REF!)+$F$51</f>
        <v>#REF!</v>
      </c>
    </row>
    <row r="59" spans="1:6" x14ac:dyDescent="0.25">
      <c r="A59">
        <v>68</v>
      </c>
      <c r="B59">
        <f t="shared" si="1"/>
        <v>9.8000000000000007</v>
      </c>
      <c r="C59">
        <v>78</v>
      </c>
      <c r="D59">
        <f>((C59-50)*Satser!$B$14)+$D$31</f>
        <v>8.8000000000000007</v>
      </c>
      <c r="E59">
        <v>58</v>
      </c>
      <c r="F59" t="e">
        <f>((E59-50)*Satser!#REF!)+$F$51</f>
        <v>#REF!</v>
      </c>
    </row>
    <row r="60" spans="1:6" x14ac:dyDescent="0.25">
      <c r="A60">
        <v>69</v>
      </c>
      <c r="B60">
        <f t="shared" si="1"/>
        <v>9.9</v>
      </c>
      <c r="C60">
        <v>79</v>
      </c>
      <c r="D60">
        <f>((C60-50)*Satser!$B$14)+$D$31</f>
        <v>8.9</v>
      </c>
      <c r="E60">
        <v>59</v>
      </c>
      <c r="F60" t="e">
        <f>((E60-50)*Satser!#REF!)+$F$51</f>
        <v>#REF!</v>
      </c>
    </row>
    <row r="61" spans="1:6" x14ac:dyDescent="0.25">
      <c r="A61">
        <v>70</v>
      </c>
      <c r="B61">
        <f t="shared" si="1"/>
        <v>10</v>
      </c>
      <c r="C61">
        <v>80</v>
      </c>
      <c r="D61">
        <f>((C61-50)*Satser!$B$14)+$D$31</f>
        <v>9</v>
      </c>
      <c r="E61">
        <v>60</v>
      </c>
      <c r="F61" t="e">
        <f>((E61-50)*Satser!#REF!)+$F$51</f>
        <v>#REF!</v>
      </c>
    </row>
    <row r="62" spans="1:6" x14ac:dyDescent="0.25">
      <c r="A62">
        <v>71</v>
      </c>
      <c r="B62">
        <f t="shared" si="1"/>
        <v>10.1</v>
      </c>
      <c r="C62">
        <v>81</v>
      </c>
      <c r="D62">
        <f>((C62-50)*Satser!$B$14)+$D$31</f>
        <v>9.1</v>
      </c>
      <c r="E62">
        <v>61</v>
      </c>
      <c r="F62" t="e">
        <f>((E62-50)*Satser!#REF!)+$F$51</f>
        <v>#REF!</v>
      </c>
    </row>
    <row r="63" spans="1:6" x14ac:dyDescent="0.25">
      <c r="A63">
        <v>72</v>
      </c>
      <c r="B63">
        <f t="shared" si="1"/>
        <v>10.199999999999999</v>
      </c>
      <c r="C63">
        <v>82</v>
      </c>
      <c r="D63">
        <f>((C63-50)*Satser!$B$14)+$D$31</f>
        <v>9.1999999999999993</v>
      </c>
      <c r="E63">
        <v>62</v>
      </c>
      <c r="F63" t="e">
        <f>((E63-50)*Satser!#REF!)+$F$51</f>
        <v>#REF!</v>
      </c>
    </row>
    <row r="64" spans="1:6" x14ac:dyDescent="0.25">
      <c r="A64">
        <v>73</v>
      </c>
      <c r="B64">
        <f t="shared" si="1"/>
        <v>10.3</v>
      </c>
      <c r="C64">
        <v>83</v>
      </c>
      <c r="D64">
        <f>((C64-50)*Satser!$B$14)+$D$31</f>
        <v>9.3000000000000007</v>
      </c>
      <c r="E64">
        <v>63</v>
      </c>
      <c r="F64" t="e">
        <f>((E64-50)*Satser!#REF!)+$F$51</f>
        <v>#REF!</v>
      </c>
    </row>
    <row r="65" spans="1:6" x14ac:dyDescent="0.25">
      <c r="A65">
        <v>74</v>
      </c>
      <c r="B65">
        <f t="shared" si="1"/>
        <v>10.4</v>
      </c>
      <c r="C65">
        <v>84</v>
      </c>
      <c r="D65">
        <f>((C65-50)*Satser!$B$14)+$D$31</f>
        <v>9.4</v>
      </c>
      <c r="E65">
        <v>64</v>
      </c>
      <c r="F65" t="e">
        <f>((E65-50)*Satser!#REF!)+$F$51</f>
        <v>#REF!</v>
      </c>
    </row>
    <row r="66" spans="1:6" x14ac:dyDescent="0.25">
      <c r="A66">
        <v>75</v>
      </c>
      <c r="B66">
        <f t="shared" si="1"/>
        <v>10.5</v>
      </c>
      <c r="C66">
        <v>85</v>
      </c>
      <c r="D66">
        <f>((C66-50)*Satser!$B$14)+$D$31</f>
        <v>9.5</v>
      </c>
      <c r="E66">
        <v>65</v>
      </c>
      <c r="F66" t="e">
        <f>((E66-50)*Satser!#REF!)+$F$51</f>
        <v>#REF!</v>
      </c>
    </row>
    <row r="67" spans="1:6" x14ac:dyDescent="0.25">
      <c r="A67">
        <v>76</v>
      </c>
      <c r="B67">
        <f t="shared" si="1"/>
        <v>10.6</v>
      </c>
      <c r="C67">
        <v>86</v>
      </c>
      <c r="D67">
        <f>((C67-50)*Satser!$B$14)+$D$31</f>
        <v>9.6</v>
      </c>
      <c r="E67">
        <v>66</v>
      </c>
      <c r="F67" t="e">
        <f>((E67-50)*Satser!#REF!)+$F$51</f>
        <v>#REF!</v>
      </c>
    </row>
    <row r="68" spans="1:6" x14ac:dyDescent="0.25">
      <c r="A68">
        <v>77</v>
      </c>
      <c r="B68">
        <f t="shared" si="1"/>
        <v>10.7</v>
      </c>
      <c r="C68">
        <v>87</v>
      </c>
      <c r="D68">
        <f>((C68-50)*Satser!$B$14)+$D$31</f>
        <v>9.6999999999999993</v>
      </c>
      <c r="E68">
        <v>67</v>
      </c>
      <c r="F68" t="e">
        <f>((E68-50)*Satser!#REF!)+$F$51</f>
        <v>#REF!</v>
      </c>
    </row>
    <row r="69" spans="1:6" x14ac:dyDescent="0.25">
      <c r="A69">
        <v>78</v>
      </c>
      <c r="B69">
        <f t="shared" si="1"/>
        <v>10.8</v>
      </c>
      <c r="C69">
        <v>88</v>
      </c>
      <c r="D69">
        <f>((C69-50)*Satser!$B$14)+$D$31</f>
        <v>9.8000000000000007</v>
      </c>
      <c r="E69">
        <v>68</v>
      </c>
      <c r="F69" t="e">
        <f>((E69-50)*Satser!#REF!)+$F$51</f>
        <v>#REF!</v>
      </c>
    </row>
    <row r="70" spans="1:6" x14ac:dyDescent="0.25">
      <c r="A70">
        <v>79</v>
      </c>
      <c r="B70">
        <f t="shared" si="1"/>
        <v>10.9</v>
      </c>
      <c r="C70">
        <v>89</v>
      </c>
      <c r="D70">
        <f>((C70-50)*Satser!$B$14)+$D$31</f>
        <v>9.9</v>
      </c>
      <c r="E70">
        <v>69</v>
      </c>
      <c r="F70" t="e">
        <f>((E70-50)*Satser!#REF!)+$F$51</f>
        <v>#REF!</v>
      </c>
    </row>
    <row r="71" spans="1:6" x14ac:dyDescent="0.25">
      <c r="A71">
        <v>80</v>
      </c>
      <c r="B71">
        <f t="shared" si="1"/>
        <v>11</v>
      </c>
      <c r="C71">
        <v>90</v>
      </c>
      <c r="D71">
        <f>((C71-50)*Satser!$B$14)+$D$31</f>
        <v>10</v>
      </c>
      <c r="E71">
        <v>70</v>
      </c>
      <c r="F71" t="e">
        <f>((E71-50)*Satser!#REF!)+$F$51</f>
        <v>#REF!</v>
      </c>
    </row>
    <row r="72" spans="1:6" x14ac:dyDescent="0.25">
      <c r="A72">
        <v>81</v>
      </c>
      <c r="B72">
        <f t="shared" si="1"/>
        <v>11.1</v>
      </c>
      <c r="C72">
        <v>91</v>
      </c>
      <c r="D72">
        <f>((C72-50)*Satser!$B$14)+$D$31</f>
        <v>10.100000000000001</v>
      </c>
      <c r="E72">
        <v>71</v>
      </c>
      <c r="F72" t="e">
        <f>((E72-50)*Satser!#REF!)+$F$51</f>
        <v>#REF!</v>
      </c>
    </row>
    <row r="73" spans="1:6" x14ac:dyDescent="0.25">
      <c r="A73">
        <v>82</v>
      </c>
      <c r="B73">
        <f t="shared" si="1"/>
        <v>11.2</v>
      </c>
      <c r="C73">
        <v>92</v>
      </c>
      <c r="D73">
        <f>((C73-50)*Satser!$B$14)+$D$31</f>
        <v>10.199999999999999</v>
      </c>
      <c r="E73">
        <v>72</v>
      </c>
      <c r="F73" t="e">
        <f>((E73-50)*Satser!#REF!)+$F$51</f>
        <v>#REF!</v>
      </c>
    </row>
    <row r="74" spans="1:6" x14ac:dyDescent="0.25">
      <c r="A74">
        <v>83</v>
      </c>
      <c r="B74">
        <f t="shared" si="1"/>
        <v>11.3</v>
      </c>
      <c r="C74">
        <v>93</v>
      </c>
      <c r="D74">
        <f>((C74-50)*Satser!$B$14)+$D$31</f>
        <v>10.3</v>
      </c>
      <c r="E74">
        <v>73</v>
      </c>
      <c r="F74" t="e">
        <f>((E74-50)*Satser!#REF!)+$F$51</f>
        <v>#REF!</v>
      </c>
    </row>
    <row r="75" spans="1:6" x14ac:dyDescent="0.25">
      <c r="A75">
        <v>84</v>
      </c>
      <c r="B75">
        <f t="shared" si="1"/>
        <v>11.4</v>
      </c>
      <c r="C75">
        <v>94</v>
      </c>
      <c r="D75">
        <f>((C75-50)*Satser!$B$14)+$D$31</f>
        <v>10.4</v>
      </c>
      <c r="E75">
        <v>74</v>
      </c>
      <c r="F75" t="e">
        <f>((E75-50)*Satser!#REF!)+$F$51</f>
        <v>#REF!</v>
      </c>
    </row>
    <row r="76" spans="1:6" x14ac:dyDescent="0.25">
      <c r="A76">
        <v>85</v>
      </c>
      <c r="B76">
        <f t="shared" si="1"/>
        <v>11.5</v>
      </c>
      <c r="C76">
        <v>95</v>
      </c>
      <c r="D76">
        <f>((C76-50)*Satser!$B$14)+$D$31</f>
        <v>10.5</v>
      </c>
      <c r="E76">
        <v>75</v>
      </c>
      <c r="F76" t="e">
        <f>((E76-50)*Satser!#REF!)+$F$51</f>
        <v>#REF!</v>
      </c>
    </row>
    <row r="77" spans="1:6" x14ac:dyDescent="0.25">
      <c r="A77">
        <v>86</v>
      </c>
      <c r="B77">
        <f t="shared" si="1"/>
        <v>11.6</v>
      </c>
      <c r="C77">
        <v>96</v>
      </c>
      <c r="D77">
        <f>((C77-50)*Satser!$B$14)+$D$31</f>
        <v>10.600000000000001</v>
      </c>
      <c r="E77">
        <v>76</v>
      </c>
      <c r="F77" t="e">
        <f>((E77-50)*Satser!#REF!)+$F$51</f>
        <v>#REF!</v>
      </c>
    </row>
    <row r="78" spans="1:6" x14ac:dyDescent="0.25">
      <c r="A78">
        <v>87</v>
      </c>
      <c r="B78">
        <f t="shared" si="1"/>
        <v>11.7</v>
      </c>
      <c r="C78">
        <v>97</v>
      </c>
      <c r="D78">
        <f>((C78-50)*Satser!$B$14)+$D$31</f>
        <v>10.7</v>
      </c>
      <c r="E78">
        <v>77</v>
      </c>
      <c r="F78" t="e">
        <f>((E78-50)*Satser!#REF!)+$F$51</f>
        <v>#REF!</v>
      </c>
    </row>
    <row r="79" spans="1:6" x14ac:dyDescent="0.25">
      <c r="A79">
        <v>88</v>
      </c>
      <c r="B79">
        <f t="shared" si="1"/>
        <v>11.8</v>
      </c>
      <c r="C79">
        <v>98</v>
      </c>
      <c r="D79">
        <f>((C79-50)*Satser!$B$14)+$D$31</f>
        <v>10.8</v>
      </c>
      <c r="E79">
        <v>78</v>
      </c>
      <c r="F79" t="e">
        <f>((E79-50)*Satser!#REF!)+$F$51</f>
        <v>#REF!</v>
      </c>
    </row>
    <row r="80" spans="1:6" x14ac:dyDescent="0.25">
      <c r="A80">
        <v>89</v>
      </c>
      <c r="B80">
        <f t="shared" si="1"/>
        <v>11.9</v>
      </c>
      <c r="C80">
        <v>99</v>
      </c>
      <c r="D80">
        <f>((C80-50)*Satser!$B$14)+$D$31</f>
        <v>10.9</v>
      </c>
      <c r="E80">
        <v>79</v>
      </c>
      <c r="F80" t="e">
        <f>((E80-50)*Satser!#REF!)+$F$51</f>
        <v>#REF!</v>
      </c>
    </row>
    <row r="81" spans="1:6" x14ac:dyDescent="0.25">
      <c r="A81">
        <v>90</v>
      </c>
      <c r="B81">
        <f t="shared" si="1"/>
        <v>12</v>
      </c>
      <c r="C81">
        <v>100</v>
      </c>
      <c r="D81">
        <f>((C81-50)*Satser!$B$14)+$D$31</f>
        <v>11</v>
      </c>
      <c r="E81">
        <v>80</v>
      </c>
      <c r="F81" t="e">
        <f>((E81-50)*Satser!#REF!)+$F$51</f>
        <v>#REF!</v>
      </c>
    </row>
    <row r="82" spans="1:6" x14ac:dyDescent="0.25">
      <c r="A82">
        <v>91</v>
      </c>
      <c r="B82">
        <f t="shared" si="1"/>
        <v>12.100000000000001</v>
      </c>
      <c r="C82">
        <v>101</v>
      </c>
      <c r="D82">
        <f>((C82-100)*Satser!$B$15)+$D$81</f>
        <v>11.074999999999999</v>
      </c>
      <c r="E82">
        <v>81</v>
      </c>
      <c r="F82" t="e">
        <f>((E82-50)*Satser!#REF!)+$F$51</f>
        <v>#REF!</v>
      </c>
    </row>
    <row r="83" spans="1:6" x14ac:dyDescent="0.25">
      <c r="A83">
        <v>92</v>
      </c>
      <c r="B83">
        <f t="shared" si="1"/>
        <v>12.2</v>
      </c>
      <c r="C83">
        <v>102</v>
      </c>
      <c r="D83">
        <f>((C83-100)*Satser!$B$15)+$D$81</f>
        <v>11.15</v>
      </c>
      <c r="E83">
        <v>82</v>
      </c>
      <c r="F83" t="e">
        <f>((E83-50)*Satser!#REF!)+$F$51</f>
        <v>#REF!</v>
      </c>
    </row>
    <row r="84" spans="1:6" x14ac:dyDescent="0.25">
      <c r="A84">
        <v>93</v>
      </c>
      <c r="B84">
        <f t="shared" si="1"/>
        <v>12.3</v>
      </c>
      <c r="C84">
        <v>103</v>
      </c>
      <c r="D84">
        <f>((C84-100)*Satser!$B$15)+$D$81</f>
        <v>11.225</v>
      </c>
      <c r="E84">
        <v>83</v>
      </c>
      <c r="F84" t="e">
        <f>((E84-50)*Satser!#REF!)+$F$51</f>
        <v>#REF!</v>
      </c>
    </row>
    <row r="85" spans="1:6" x14ac:dyDescent="0.25">
      <c r="A85">
        <v>94</v>
      </c>
      <c r="B85">
        <f t="shared" si="1"/>
        <v>12.4</v>
      </c>
      <c r="C85">
        <v>104</v>
      </c>
      <c r="D85">
        <f>((C85-100)*Satser!$B$15)+$D$81</f>
        <v>11.3</v>
      </c>
      <c r="E85">
        <v>84</v>
      </c>
      <c r="F85" t="e">
        <f>((E85-50)*Satser!#REF!)+$F$51</f>
        <v>#REF!</v>
      </c>
    </row>
    <row r="86" spans="1:6" x14ac:dyDescent="0.25">
      <c r="A86">
        <v>95</v>
      </c>
      <c r="B86">
        <f t="shared" si="1"/>
        <v>12.5</v>
      </c>
      <c r="C86">
        <v>105</v>
      </c>
      <c r="D86">
        <f>((C86-100)*Satser!$B$15)+$D$81</f>
        <v>11.375</v>
      </c>
      <c r="E86">
        <v>85</v>
      </c>
      <c r="F86" t="e">
        <f>((E86-50)*Satser!#REF!)+$F$51</f>
        <v>#REF!</v>
      </c>
    </row>
    <row r="87" spans="1:6" x14ac:dyDescent="0.25">
      <c r="A87">
        <v>96</v>
      </c>
      <c r="B87">
        <f t="shared" si="1"/>
        <v>12.600000000000001</v>
      </c>
      <c r="C87">
        <v>106</v>
      </c>
      <c r="D87">
        <f>((C87-100)*Satser!$B$15)+$D$81</f>
        <v>11.45</v>
      </c>
      <c r="E87">
        <v>86</v>
      </c>
      <c r="F87" t="e">
        <f>((E87-50)*Satser!#REF!)+$F$51</f>
        <v>#REF!</v>
      </c>
    </row>
    <row r="88" spans="1:6" x14ac:dyDescent="0.25">
      <c r="A88">
        <v>97</v>
      </c>
      <c r="B88">
        <f t="shared" si="1"/>
        <v>12.7</v>
      </c>
      <c r="C88">
        <v>107</v>
      </c>
      <c r="D88">
        <f>((C88-100)*Satser!$B$15)+$D$81</f>
        <v>11.525</v>
      </c>
      <c r="E88">
        <v>87</v>
      </c>
      <c r="F88" t="e">
        <f>((E88-50)*Satser!#REF!)+$F$51</f>
        <v>#REF!</v>
      </c>
    </row>
    <row r="89" spans="1:6" x14ac:dyDescent="0.25">
      <c r="A89">
        <v>98</v>
      </c>
      <c r="B89">
        <f t="shared" si="1"/>
        <v>12.8</v>
      </c>
      <c r="C89">
        <v>108</v>
      </c>
      <c r="D89">
        <f>((C89-100)*Satser!$B$15)+$D$81</f>
        <v>11.6</v>
      </c>
      <c r="E89">
        <v>88</v>
      </c>
      <c r="F89" t="e">
        <f>((E89-50)*Satser!#REF!)+$F$51</f>
        <v>#REF!</v>
      </c>
    </row>
    <row r="90" spans="1:6" x14ac:dyDescent="0.25">
      <c r="A90">
        <v>99</v>
      </c>
      <c r="B90">
        <f t="shared" si="1"/>
        <v>12.9</v>
      </c>
      <c r="C90">
        <v>109</v>
      </c>
      <c r="D90">
        <f>((C90-100)*Satser!$B$15)+$D$81</f>
        <v>11.675000000000001</v>
      </c>
      <c r="E90">
        <v>89</v>
      </c>
      <c r="F90" t="e">
        <f>((E90-50)*Satser!#REF!)+$F$51</f>
        <v>#REF!</v>
      </c>
    </row>
    <row r="91" spans="1:6" x14ac:dyDescent="0.25">
      <c r="A91">
        <v>100</v>
      </c>
      <c r="B91">
        <f t="shared" si="1"/>
        <v>13</v>
      </c>
      <c r="C91">
        <v>110</v>
      </c>
      <c r="D91">
        <f>((C91-100)*Satser!$B$15)+$D$81</f>
        <v>11.75</v>
      </c>
      <c r="E91">
        <v>90</v>
      </c>
      <c r="F91" t="e">
        <f>((E91-50)*Satser!#REF!)+$F$51</f>
        <v>#REF!</v>
      </c>
    </row>
    <row r="92" spans="1:6" x14ac:dyDescent="0.25">
      <c r="A92">
        <v>101</v>
      </c>
      <c r="B92">
        <f t="shared" si="1"/>
        <v>13.100000000000001</v>
      </c>
      <c r="C92">
        <v>111</v>
      </c>
      <c r="D92">
        <f>((C92-100)*Satser!$B$15)+$D$81</f>
        <v>11.824999999999999</v>
      </c>
      <c r="E92">
        <v>91</v>
      </c>
      <c r="F92" t="e">
        <f>((E92-50)*Satser!#REF!)+$F$51</f>
        <v>#REF!</v>
      </c>
    </row>
    <row r="93" spans="1:6" x14ac:dyDescent="0.25">
      <c r="A93">
        <v>102</v>
      </c>
      <c r="B93">
        <f t="shared" si="1"/>
        <v>13.2</v>
      </c>
      <c r="C93">
        <v>112</v>
      </c>
      <c r="D93">
        <f>((C93-100)*Satser!$B$15)+$D$81</f>
        <v>11.9</v>
      </c>
      <c r="E93">
        <v>92</v>
      </c>
      <c r="F93" t="e">
        <f>((E93-50)*Satser!#REF!)+$F$51</f>
        <v>#REF!</v>
      </c>
    </row>
    <row r="94" spans="1:6" x14ac:dyDescent="0.25">
      <c r="A94">
        <v>103</v>
      </c>
      <c r="B94">
        <f t="shared" si="1"/>
        <v>13.3</v>
      </c>
      <c r="C94">
        <v>113</v>
      </c>
      <c r="D94">
        <f>((C94-100)*Satser!$B$15)+$D$81</f>
        <v>11.975</v>
      </c>
      <c r="E94">
        <v>93</v>
      </c>
      <c r="F94" t="e">
        <f>((E94-50)*Satser!#REF!)+$F$51</f>
        <v>#REF!</v>
      </c>
    </row>
    <row r="95" spans="1:6" x14ac:dyDescent="0.25">
      <c r="A95">
        <v>104</v>
      </c>
      <c r="B95">
        <f t="shared" si="1"/>
        <v>13.4</v>
      </c>
      <c r="C95">
        <v>114</v>
      </c>
      <c r="D95">
        <f>((C95-100)*Satser!$B$15)+$D$81</f>
        <v>12.05</v>
      </c>
      <c r="E95">
        <v>94</v>
      </c>
      <c r="F95" t="e">
        <f>((E95-50)*Satser!#REF!)+$F$51</f>
        <v>#REF!</v>
      </c>
    </row>
    <row r="96" spans="1:6" x14ac:dyDescent="0.25">
      <c r="A96">
        <v>105</v>
      </c>
      <c r="B96">
        <f t="shared" si="1"/>
        <v>13.5</v>
      </c>
      <c r="C96">
        <v>115</v>
      </c>
      <c r="D96">
        <f>((C96-100)*Satser!$B$15)+$D$81</f>
        <v>12.125</v>
      </c>
      <c r="E96">
        <v>95</v>
      </c>
      <c r="F96" t="e">
        <f>((E96-50)*Satser!#REF!)+$F$51</f>
        <v>#REF!</v>
      </c>
    </row>
    <row r="97" spans="1:6" x14ac:dyDescent="0.25">
      <c r="A97">
        <v>106</v>
      </c>
      <c r="B97">
        <f t="shared" si="1"/>
        <v>13.600000000000001</v>
      </c>
      <c r="C97">
        <v>116</v>
      </c>
      <c r="D97">
        <f>((C97-100)*Satser!$B$15)+$D$81</f>
        <v>12.2</v>
      </c>
      <c r="E97">
        <v>96</v>
      </c>
      <c r="F97" t="e">
        <f>((E97-50)*Satser!#REF!)+$F$51</f>
        <v>#REF!</v>
      </c>
    </row>
    <row r="98" spans="1:6" x14ac:dyDescent="0.25">
      <c r="A98">
        <v>107</v>
      </c>
      <c r="B98">
        <f t="shared" si="1"/>
        <v>13.7</v>
      </c>
      <c r="C98">
        <v>117</v>
      </c>
      <c r="D98">
        <f>((C98-100)*Satser!$B$15)+$D$81</f>
        <v>12.275</v>
      </c>
      <c r="E98">
        <v>97</v>
      </c>
      <c r="F98" t="e">
        <f>((E98-50)*Satser!#REF!)+$F$51</f>
        <v>#REF!</v>
      </c>
    </row>
    <row r="99" spans="1:6" x14ac:dyDescent="0.25">
      <c r="A99">
        <v>108</v>
      </c>
      <c r="B99">
        <f t="shared" si="1"/>
        <v>13.8</v>
      </c>
      <c r="C99">
        <v>118</v>
      </c>
      <c r="D99">
        <f>((C99-100)*Satser!$B$15)+$D$81</f>
        <v>12.35</v>
      </c>
      <c r="E99">
        <v>98</v>
      </c>
      <c r="F99" t="e">
        <f>((E99-50)*Satser!#REF!)+$F$51</f>
        <v>#REF!</v>
      </c>
    </row>
    <row r="100" spans="1:6" x14ac:dyDescent="0.25">
      <c r="A100">
        <v>109</v>
      </c>
      <c r="B100">
        <f t="shared" si="1"/>
        <v>13.9</v>
      </c>
      <c r="C100">
        <v>119</v>
      </c>
      <c r="D100">
        <f>((C100-100)*Satser!$B$15)+$D$81</f>
        <v>12.425000000000001</v>
      </c>
      <c r="E100">
        <v>99</v>
      </c>
      <c r="F100" t="e">
        <f>((E100-50)*Satser!#REF!)+$F$51</f>
        <v>#REF!</v>
      </c>
    </row>
    <row r="101" spans="1:6" x14ac:dyDescent="0.25">
      <c r="A101">
        <v>110</v>
      </c>
      <c r="B101">
        <f t="shared" si="1"/>
        <v>14</v>
      </c>
      <c r="C101">
        <v>120</v>
      </c>
      <c r="D101">
        <f>((C101-100)*Satser!$B$15)+$D$81</f>
        <v>12.5</v>
      </c>
      <c r="E101">
        <v>100</v>
      </c>
      <c r="F101" t="e">
        <f>((E101-50)*Satser!#REF!)+$F$51</f>
        <v>#REF!</v>
      </c>
    </row>
    <row r="102" spans="1:6" x14ac:dyDescent="0.25">
      <c r="A102">
        <v>111</v>
      </c>
      <c r="B102">
        <f t="shared" si="1"/>
        <v>14.100000000000001</v>
      </c>
      <c r="C102">
        <v>121</v>
      </c>
      <c r="D102">
        <f>((C102-100)*Satser!$B$15)+$D$81</f>
        <v>12.574999999999999</v>
      </c>
      <c r="E102">
        <v>101</v>
      </c>
      <c r="F102" t="e">
        <f>((E102-50)*Satser!#REF!)+$F$51</f>
        <v>#REF!</v>
      </c>
    </row>
    <row r="103" spans="1:6" x14ac:dyDescent="0.25">
      <c r="A103">
        <v>112</v>
      </c>
      <c r="B103">
        <f t="shared" si="1"/>
        <v>14.2</v>
      </c>
      <c r="C103">
        <v>122</v>
      </c>
      <c r="D103">
        <f>((C103-100)*Satser!$B$15)+$D$81</f>
        <v>12.65</v>
      </c>
      <c r="E103">
        <v>102</v>
      </c>
      <c r="F103" t="e">
        <f>((E103-50)*Satser!#REF!)+$F$51</f>
        <v>#REF!</v>
      </c>
    </row>
    <row r="104" spans="1:6" x14ac:dyDescent="0.25">
      <c r="A104">
        <v>113</v>
      </c>
      <c r="B104">
        <f t="shared" si="1"/>
        <v>14.3</v>
      </c>
      <c r="C104">
        <v>123</v>
      </c>
      <c r="D104">
        <f>((C104-100)*Satser!$B$15)+$D$81</f>
        <v>12.725</v>
      </c>
      <c r="E104">
        <v>103</v>
      </c>
      <c r="F104" t="e">
        <f>((E104-50)*Satser!#REF!)+$F$51</f>
        <v>#REF!</v>
      </c>
    </row>
    <row r="105" spans="1:6" x14ac:dyDescent="0.25">
      <c r="A105">
        <v>114</v>
      </c>
      <c r="B105">
        <f t="shared" si="1"/>
        <v>14.4</v>
      </c>
      <c r="C105">
        <v>124</v>
      </c>
      <c r="D105">
        <f>((C105-100)*Satser!$B$15)+$D$81</f>
        <v>12.8</v>
      </c>
      <c r="E105">
        <v>104</v>
      </c>
      <c r="F105" t="e">
        <f>((E105-50)*Satser!#REF!)+$F$51</f>
        <v>#REF!</v>
      </c>
    </row>
    <row r="106" spans="1:6" x14ac:dyDescent="0.25">
      <c r="A106">
        <v>115</v>
      </c>
      <c r="B106">
        <f t="shared" si="1"/>
        <v>14.5</v>
      </c>
      <c r="C106">
        <v>125</v>
      </c>
      <c r="D106">
        <f>((C106-100)*Satser!$B$15)+$D$81</f>
        <v>12.875</v>
      </c>
      <c r="E106">
        <v>105</v>
      </c>
      <c r="F106" t="e">
        <f>((E106-50)*Satser!#REF!)+$F$51</f>
        <v>#REF!</v>
      </c>
    </row>
    <row r="107" spans="1:6" x14ac:dyDescent="0.25">
      <c r="A107">
        <v>116</v>
      </c>
      <c r="B107">
        <f t="shared" ref="B107:B170" si="2">((A107-50)*0.1)+$B$41</f>
        <v>14.600000000000001</v>
      </c>
      <c r="C107">
        <v>126</v>
      </c>
      <c r="D107">
        <f>((C107-100)*Satser!$B$15)+$D$81</f>
        <v>12.95</v>
      </c>
      <c r="E107">
        <v>106</v>
      </c>
      <c r="F107" t="e">
        <f>((E107-50)*Satser!#REF!)+$F$51</f>
        <v>#REF!</v>
      </c>
    </row>
    <row r="108" spans="1:6" x14ac:dyDescent="0.25">
      <c r="A108">
        <v>117</v>
      </c>
      <c r="B108">
        <f t="shared" si="2"/>
        <v>14.7</v>
      </c>
      <c r="C108">
        <v>127</v>
      </c>
      <c r="D108">
        <f>((C108-100)*Satser!$B$15)+$D$81</f>
        <v>13.025</v>
      </c>
      <c r="E108">
        <v>107</v>
      </c>
      <c r="F108" t="e">
        <f>((E108-50)*Satser!#REF!)+$F$51</f>
        <v>#REF!</v>
      </c>
    </row>
    <row r="109" spans="1:6" x14ac:dyDescent="0.25">
      <c r="A109">
        <v>118</v>
      </c>
      <c r="B109">
        <f t="shared" si="2"/>
        <v>14.8</v>
      </c>
      <c r="C109">
        <v>128</v>
      </c>
      <c r="D109">
        <f>((C109-100)*Satser!$B$15)+$D$81</f>
        <v>13.1</v>
      </c>
      <c r="E109">
        <v>108</v>
      </c>
      <c r="F109" t="e">
        <f>((E109-50)*Satser!#REF!)+$F$51</f>
        <v>#REF!</v>
      </c>
    </row>
    <row r="110" spans="1:6" x14ac:dyDescent="0.25">
      <c r="A110">
        <v>119</v>
      </c>
      <c r="B110">
        <f t="shared" si="2"/>
        <v>14.9</v>
      </c>
      <c r="C110">
        <v>129</v>
      </c>
      <c r="D110">
        <f>((C110-100)*Satser!$B$15)+$D$81</f>
        <v>13.175000000000001</v>
      </c>
      <c r="E110">
        <v>109</v>
      </c>
      <c r="F110" t="e">
        <f>((E110-50)*Satser!#REF!)+$F$51</f>
        <v>#REF!</v>
      </c>
    </row>
    <row r="111" spans="1:6" x14ac:dyDescent="0.25">
      <c r="A111">
        <v>120</v>
      </c>
      <c r="B111">
        <f t="shared" si="2"/>
        <v>15</v>
      </c>
      <c r="C111">
        <v>130</v>
      </c>
      <c r="D111">
        <f>((C111-100)*Satser!$B$15)+$D$81</f>
        <v>13.25</v>
      </c>
      <c r="E111">
        <v>110</v>
      </c>
      <c r="F111" t="e">
        <f>((E111-50)*Satser!#REF!)+$F$51</f>
        <v>#REF!</v>
      </c>
    </row>
    <row r="112" spans="1:6" x14ac:dyDescent="0.25">
      <c r="A112">
        <v>121</v>
      </c>
      <c r="B112">
        <f t="shared" si="2"/>
        <v>15.100000000000001</v>
      </c>
      <c r="C112">
        <v>131</v>
      </c>
      <c r="D112">
        <f>((C112-100)*Satser!$B$15)+$D$81</f>
        <v>13.324999999999999</v>
      </c>
      <c r="E112">
        <v>111</v>
      </c>
      <c r="F112" t="e">
        <f>((E112-50)*Satser!#REF!)+$F$51</f>
        <v>#REF!</v>
      </c>
    </row>
    <row r="113" spans="1:6" x14ac:dyDescent="0.25">
      <c r="A113">
        <v>122</v>
      </c>
      <c r="B113">
        <f t="shared" si="2"/>
        <v>15.2</v>
      </c>
      <c r="C113">
        <v>132</v>
      </c>
      <c r="D113">
        <f>((C113-100)*Satser!$B$15)+$D$81</f>
        <v>13.4</v>
      </c>
      <c r="E113">
        <v>112</v>
      </c>
      <c r="F113" t="e">
        <f>((E113-50)*Satser!#REF!)+$F$51</f>
        <v>#REF!</v>
      </c>
    </row>
    <row r="114" spans="1:6" x14ac:dyDescent="0.25">
      <c r="A114">
        <v>123</v>
      </c>
      <c r="B114">
        <f t="shared" si="2"/>
        <v>15.3</v>
      </c>
      <c r="C114">
        <v>133</v>
      </c>
      <c r="D114">
        <f>((C114-100)*Satser!$B$15)+$D$81</f>
        <v>13.475</v>
      </c>
      <c r="E114">
        <v>113</v>
      </c>
      <c r="F114" t="e">
        <f>((E114-50)*Satser!#REF!)+$F$51</f>
        <v>#REF!</v>
      </c>
    </row>
    <row r="115" spans="1:6" x14ac:dyDescent="0.25">
      <c r="A115">
        <v>124</v>
      </c>
      <c r="B115">
        <f t="shared" si="2"/>
        <v>15.4</v>
      </c>
      <c r="C115">
        <v>134</v>
      </c>
      <c r="D115">
        <f>((C115-100)*Satser!$B$15)+$D$81</f>
        <v>13.55</v>
      </c>
      <c r="E115">
        <v>114</v>
      </c>
      <c r="F115" t="e">
        <f>((E115-50)*Satser!#REF!)+$F$51</f>
        <v>#REF!</v>
      </c>
    </row>
    <row r="116" spans="1:6" x14ac:dyDescent="0.25">
      <c r="A116">
        <v>125</v>
      </c>
      <c r="B116">
        <f t="shared" si="2"/>
        <v>15.5</v>
      </c>
      <c r="C116">
        <v>135</v>
      </c>
      <c r="D116">
        <f>((C116-100)*Satser!$B$15)+$D$81</f>
        <v>13.625</v>
      </c>
      <c r="E116">
        <v>115</v>
      </c>
      <c r="F116" t="e">
        <f>((E116-50)*Satser!#REF!)+$F$51</f>
        <v>#REF!</v>
      </c>
    </row>
    <row r="117" spans="1:6" x14ac:dyDescent="0.25">
      <c r="A117">
        <v>126</v>
      </c>
      <c r="B117">
        <f t="shared" si="2"/>
        <v>15.600000000000001</v>
      </c>
      <c r="C117">
        <v>136</v>
      </c>
      <c r="D117">
        <f>((C117-100)*Satser!$B$15)+$D$81</f>
        <v>13.7</v>
      </c>
      <c r="E117">
        <v>116</v>
      </c>
      <c r="F117" t="e">
        <f>((E117-50)*Satser!#REF!)+$F$51</f>
        <v>#REF!</v>
      </c>
    </row>
    <row r="118" spans="1:6" x14ac:dyDescent="0.25">
      <c r="A118">
        <v>127</v>
      </c>
      <c r="B118">
        <f t="shared" si="2"/>
        <v>15.7</v>
      </c>
      <c r="C118">
        <v>137</v>
      </c>
      <c r="D118">
        <f>((C118-100)*Satser!$B$15)+$D$81</f>
        <v>13.775</v>
      </c>
      <c r="E118">
        <v>117</v>
      </c>
      <c r="F118" t="e">
        <f>((E118-50)*Satser!#REF!)+$F$51</f>
        <v>#REF!</v>
      </c>
    </row>
    <row r="119" spans="1:6" x14ac:dyDescent="0.25">
      <c r="A119">
        <v>128</v>
      </c>
      <c r="B119">
        <f t="shared" si="2"/>
        <v>15.8</v>
      </c>
      <c r="C119">
        <v>138</v>
      </c>
      <c r="D119">
        <f>((C119-100)*Satser!$B$15)+$D$81</f>
        <v>13.85</v>
      </c>
      <c r="E119">
        <v>118</v>
      </c>
      <c r="F119" t="e">
        <f>((E119-50)*Satser!#REF!)+$F$51</f>
        <v>#REF!</v>
      </c>
    </row>
    <row r="120" spans="1:6" x14ac:dyDescent="0.25">
      <c r="A120">
        <v>129</v>
      </c>
      <c r="B120">
        <f t="shared" si="2"/>
        <v>15.9</v>
      </c>
      <c r="C120">
        <v>139</v>
      </c>
      <c r="D120">
        <f>((C120-100)*Satser!$B$15)+$D$81</f>
        <v>13.925000000000001</v>
      </c>
      <c r="E120">
        <v>119</v>
      </c>
      <c r="F120" t="e">
        <f>((E120-50)*Satser!#REF!)+$F$51</f>
        <v>#REF!</v>
      </c>
    </row>
    <row r="121" spans="1:6" x14ac:dyDescent="0.25">
      <c r="A121">
        <v>130</v>
      </c>
      <c r="B121">
        <f t="shared" si="2"/>
        <v>16</v>
      </c>
      <c r="C121">
        <v>140</v>
      </c>
      <c r="D121">
        <f>((C121-100)*Satser!$B$15)+$D$81</f>
        <v>14</v>
      </c>
      <c r="E121">
        <v>120</v>
      </c>
      <c r="F121" t="e">
        <f>((E121-50)*Satser!#REF!)+$F$51</f>
        <v>#REF!</v>
      </c>
    </row>
    <row r="122" spans="1:6" x14ac:dyDescent="0.25">
      <c r="A122">
        <v>131</v>
      </c>
      <c r="B122">
        <f t="shared" si="2"/>
        <v>16.100000000000001</v>
      </c>
      <c r="C122">
        <v>141</v>
      </c>
      <c r="D122">
        <f>((C122-100)*Satser!$B$15)+$D$81</f>
        <v>14.074999999999999</v>
      </c>
      <c r="E122">
        <v>121</v>
      </c>
      <c r="F122" t="e">
        <f>((E122-50)*Satser!#REF!)+$F$51</f>
        <v>#REF!</v>
      </c>
    </row>
    <row r="123" spans="1:6" x14ac:dyDescent="0.25">
      <c r="A123">
        <v>132</v>
      </c>
      <c r="B123">
        <f t="shared" si="2"/>
        <v>16.200000000000003</v>
      </c>
      <c r="C123">
        <v>142</v>
      </c>
      <c r="D123">
        <f>((C123-100)*Satser!$B$15)+$D$81</f>
        <v>14.15</v>
      </c>
      <c r="E123">
        <v>122</v>
      </c>
      <c r="F123" t="e">
        <f>((E123-50)*Satser!#REF!)+$F$51</f>
        <v>#REF!</v>
      </c>
    </row>
    <row r="124" spans="1:6" x14ac:dyDescent="0.25">
      <c r="A124">
        <v>133</v>
      </c>
      <c r="B124">
        <f t="shared" si="2"/>
        <v>16.3</v>
      </c>
      <c r="C124">
        <v>143</v>
      </c>
      <c r="D124">
        <f>((C124-100)*Satser!$B$15)+$D$81</f>
        <v>14.225</v>
      </c>
      <c r="E124">
        <v>123</v>
      </c>
      <c r="F124" t="e">
        <f>((E124-50)*Satser!#REF!)+$F$51</f>
        <v>#REF!</v>
      </c>
    </row>
    <row r="125" spans="1:6" x14ac:dyDescent="0.25">
      <c r="A125">
        <v>134</v>
      </c>
      <c r="B125">
        <f t="shared" si="2"/>
        <v>16.399999999999999</v>
      </c>
      <c r="C125">
        <v>144</v>
      </c>
      <c r="D125">
        <f>((C125-100)*Satser!$B$15)+$D$81</f>
        <v>14.3</v>
      </c>
      <c r="E125">
        <v>124</v>
      </c>
      <c r="F125" t="e">
        <f>((E125-50)*Satser!#REF!)+$F$51</f>
        <v>#REF!</v>
      </c>
    </row>
    <row r="126" spans="1:6" x14ac:dyDescent="0.25">
      <c r="A126">
        <v>135</v>
      </c>
      <c r="B126">
        <f t="shared" si="2"/>
        <v>16.5</v>
      </c>
      <c r="C126">
        <v>145</v>
      </c>
      <c r="D126">
        <f>((C126-100)*Satser!$B$15)+$D$81</f>
        <v>14.375</v>
      </c>
      <c r="E126">
        <v>125</v>
      </c>
      <c r="F126" t="e">
        <f>((E126-50)*Satser!#REF!)+$F$51</f>
        <v>#REF!</v>
      </c>
    </row>
    <row r="127" spans="1:6" x14ac:dyDescent="0.25">
      <c r="A127">
        <v>136</v>
      </c>
      <c r="B127">
        <f t="shared" si="2"/>
        <v>16.600000000000001</v>
      </c>
      <c r="C127">
        <v>146</v>
      </c>
      <c r="D127">
        <f>((C127-100)*Satser!$B$15)+$D$81</f>
        <v>14.45</v>
      </c>
      <c r="E127">
        <v>126</v>
      </c>
      <c r="F127" t="e">
        <f>((E127-50)*Satser!#REF!)+$F$51</f>
        <v>#REF!</v>
      </c>
    </row>
    <row r="128" spans="1:6" x14ac:dyDescent="0.25">
      <c r="A128">
        <v>137</v>
      </c>
      <c r="B128">
        <f t="shared" si="2"/>
        <v>16.700000000000003</v>
      </c>
      <c r="C128">
        <v>147</v>
      </c>
      <c r="D128">
        <f>((C128-100)*Satser!$B$15)+$D$81</f>
        <v>14.525</v>
      </c>
      <c r="E128">
        <v>127</v>
      </c>
      <c r="F128" t="e">
        <f>((E128-50)*Satser!#REF!)+$F$51</f>
        <v>#REF!</v>
      </c>
    </row>
    <row r="129" spans="1:6" x14ac:dyDescent="0.25">
      <c r="A129">
        <v>138</v>
      </c>
      <c r="B129">
        <f t="shared" si="2"/>
        <v>16.8</v>
      </c>
      <c r="C129">
        <v>148</v>
      </c>
      <c r="D129">
        <f>((C129-100)*Satser!$B$15)+$D$81</f>
        <v>14.6</v>
      </c>
      <c r="E129">
        <v>128</v>
      </c>
      <c r="F129" t="e">
        <f>((E129-50)*Satser!#REF!)+$F$51</f>
        <v>#REF!</v>
      </c>
    </row>
    <row r="130" spans="1:6" x14ac:dyDescent="0.25">
      <c r="A130">
        <v>139</v>
      </c>
      <c r="B130">
        <f t="shared" si="2"/>
        <v>16.899999999999999</v>
      </c>
      <c r="C130">
        <v>149</v>
      </c>
      <c r="D130">
        <f>((C130-100)*Satser!$B$15)+$D$81</f>
        <v>14.675000000000001</v>
      </c>
      <c r="E130">
        <v>129</v>
      </c>
      <c r="F130" t="e">
        <f>((E130-50)*Satser!#REF!)+$F$51</f>
        <v>#REF!</v>
      </c>
    </row>
    <row r="131" spans="1:6" x14ac:dyDescent="0.25">
      <c r="A131">
        <v>140</v>
      </c>
      <c r="B131">
        <f t="shared" si="2"/>
        <v>17</v>
      </c>
      <c r="C131">
        <v>150</v>
      </c>
      <c r="D131">
        <f>((C131-100)*Satser!$B$15)+$D$81</f>
        <v>14.75</v>
      </c>
      <c r="E131">
        <v>130</v>
      </c>
      <c r="F131" t="e">
        <f>((E131-50)*Satser!#REF!)+$F$51</f>
        <v>#REF!</v>
      </c>
    </row>
    <row r="132" spans="1:6" x14ac:dyDescent="0.25">
      <c r="A132">
        <v>141</v>
      </c>
      <c r="B132">
        <f t="shared" si="2"/>
        <v>17.100000000000001</v>
      </c>
      <c r="C132">
        <v>151</v>
      </c>
      <c r="D132">
        <f>((C132-100)*Satser!$B$15)+$D$81</f>
        <v>14.824999999999999</v>
      </c>
      <c r="E132">
        <v>131</v>
      </c>
      <c r="F132" t="e">
        <f>((E132-50)*Satser!#REF!)+$F$51</f>
        <v>#REF!</v>
      </c>
    </row>
    <row r="133" spans="1:6" x14ac:dyDescent="0.25">
      <c r="A133">
        <v>142</v>
      </c>
      <c r="B133">
        <f t="shared" si="2"/>
        <v>17.200000000000003</v>
      </c>
      <c r="C133">
        <v>152</v>
      </c>
      <c r="D133">
        <f>((C133-100)*Satser!$B$15)+$D$81</f>
        <v>14.9</v>
      </c>
      <c r="E133">
        <v>132</v>
      </c>
      <c r="F133" t="e">
        <f>((E133-50)*Satser!#REF!)+$F$51</f>
        <v>#REF!</v>
      </c>
    </row>
    <row r="134" spans="1:6" x14ac:dyDescent="0.25">
      <c r="A134">
        <v>143</v>
      </c>
      <c r="B134">
        <f t="shared" si="2"/>
        <v>17.3</v>
      </c>
      <c r="C134">
        <v>153</v>
      </c>
      <c r="D134">
        <f>((C134-100)*Satser!$B$15)+$D$81</f>
        <v>14.975</v>
      </c>
      <c r="E134">
        <v>133</v>
      </c>
      <c r="F134" t="e">
        <f>((E134-50)*Satser!#REF!)+$F$51</f>
        <v>#REF!</v>
      </c>
    </row>
    <row r="135" spans="1:6" x14ac:dyDescent="0.25">
      <c r="A135">
        <v>144</v>
      </c>
      <c r="B135">
        <f t="shared" si="2"/>
        <v>17.399999999999999</v>
      </c>
      <c r="C135">
        <v>154</v>
      </c>
      <c r="D135">
        <f>((C135-100)*Satser!$B$15)+$D$81</f>
        <v>15.05</v>
      </c>
      <c r="E135">
        <v>134</v>
      </c>
      <c r="F135" t="e">
        <f>((E135-50)*Satser!#REF!)+$F$51</f>
        <v>#REF!</v>
      </c>
    </row>
    <row r="136" spans="1:6" x14ac:dyDescent="0.25">
      <c r="A136">
        <v>145</v>
      </c>
      <c r="B136">
        <f t="shared" si="2"/>
        <v>17.5</v>
      </c>
      <c r="C136">
        <v>155</v>
      </c>
      <c r="D136">
        <f>((C136-100)*Satser!$B$15)+$D$81</f>
        <v>15.125</v>
      </c>
      <c r="E136">
        <v>135</v>
      </c>
      <c r="F136" t="e">
        <f>((E136-50)*Satser!#REF!)+$F$51</f>
        <v>#REF!</v>
      </c>
    </row>
    <row r="137" spans="1:6" x14ac:dyDescent="0.25">
      <c r="A137">
        <v>146</v>
      </c>
      <c r="B137">
        <f t="shared" si="2"/>
        <v>17.600000000000001</v>
      </c>
      <c r="C137">
        <v>156</v>
      </c>
      <c r="D137">
        <f>((C137-100)*Satser!$B$15)+$D$81</f>
        <v>15.2</v>
      </c>
      <c r="E137">
        <v>136</v>
      </c>
      <c r="F137" t="e">
        <f>((E137-50)*Satser!#REF!)+$F$51</f>
        <v>#REF!</v>
      </c>
    </row>
    <row r="138" spans="1:6" x14ac:dyDescent="0.25">
      <c r="A138">
        <v>147</v>
      </c>
      <c r="B138">
        <f t="shared" si="2"/>
        <v>17.700000000000003</v>
      </c>
      <c r="C138">
        <v>157</v>
      </c>
      <c r="D138">
        <f>((C138-100)*Satser!$B$15)+$D$81</f>
        <v>15.274999999999999</v>
      </c>
      <c r="E138">
        <v>137</v>
      </c>
      <c r="F138" t="e">
        <f>((E138-50)*Satser!#REF!)+$F$51</f>
        <v>#REF!</v>
      </c>
    </row>
    <row r="139" spans="1:6" x14ac:dyDescent="0.25">
      <c r="A139">
        <v>148</v>
      </c>
      <c r="B139">
        <f t="shared" si="2"/>
        <v>17.8</v>
      </c>
      <c r="C139">
        <v>158</v>
      </c>
      <c r="D139">
        <f>((C139-100)*Satser!$B$15)+$D$81</f>
        <v>15.35</v>
      </c>
      <c r="E139">
        <v>138</v>
      </c>
      <c r="F139" t="e">
        <f>((E139-50)*Satser!#REF!)+$F$51</f>
        <v>#REF!</v>
      </c>
    </row>
    <row r="140" spans="1:6" x14ac:dyDescent="0.25">
      <c r="A140">
        <v>149</v>
      </c>
      <c r="B140">
        <f t="shared" si="2"/>
        <v>17.899999999999999</v>
      </c>
      <c r="C140">
        <v>159</v>
      </c>
      <c r="D140">
        <f>((C140-100)*Satser!$B$15)+$D$81</f>
        <v>15.425000000000001</v>
      </c>
      <c r="E140">
        <v>139</v>
      </c>
      <c r="F140" t="e">
        <f>((E140-50)*Satser!#REF!)+$F$51</f>
        <v>#REF!</v>
      </c>
    </row>
    <row r="141" spans="1:6" x14ac:dyDescent="0.25">
      <c r="A141">
        <v>150</v>
      </c>
      <c r="B141">
        <f t="shared" si="2"/>
        <v>18</v>
      </c>
      <c r="C141">
        <v>160</v>
      </c>
      <c r="D141">
        <f>((C141-100)*Satser!$B$15)+$D$81</f>
        <v>15.5</v>
      </c>
      <c r="E141">
        <v>140</v>
      </c>
      <c r="F141" t="e">
        <f>((E141-50)*Satser!#REF!)+$F$51</f>
        <v>#REF!</v>
      </c>
    </row>
    <row r="142" spans="1:6" x14ac:dyDescent="0.25">
      <c r="A142">
        <v>151</v>
      </c>
      <c r="B142">
        <f t="shared" si="2"/>
        <v>18.100000000000001</v>
      </c>
      <c r="C142">
        <v>161</v>
      </c>
      <c r="D142">
        <f>((C142-100)*Satser!$B$15)+$D$81</f>
        <v>15.574999999999999</v>
      </c>
      <c r="E142">
        <v>141</v>
      </c>
      <c r="F142" t="e">
        <f>((E142-50)*Satser!#REF!)+$F$51</f>
        <v>#REF!</v>
      </c>
    </row>
    <row r="143" spans="1:6" x14ac:dyDescent="0.25">
      <c r="A143">
        <v>152</v>
      </c>
      <c r="B143">
        <f t="shared" si="2"/>
        <v>18.200000000000003</v>
      </c>
      <c r="C143">
        <v>162</v>
      </c>
      <c r="D143">
        <f>((C143-100)*Satser!$B$15)+$D$81</f>
        <v>15.649999999999999</v>
      </c>
      <c r="E143">
        <v>142</v>
      </c>
      <c r="F143" t="e">
        <f>((E143-50)*Satser!#REF!)+$F$51</f>
        <v>#REF!</v>
      </c>
    </row>
    <row r="144" spans="1:6" x14ac:dyDescent="0.25">
      <c r="A144">
        <v>153</v>
      </c>
      <c r="B144">
        <f t="shared" si="2"/>
        <v>18.3</v>
      </c>
      <c r="C144">
        <v>163</v>
      </c>
      <c r="D144">
        <f>((C144-100)*Satser!$B$15)+$D$81</f>
        <v>15.725</v>
      </c>
      <c r="E144">
        <v>143</v>
      </c>
      <c r="F144" t="e">
        <f>((E144-50)*Satser!#REF!)+$F$51</f>
        <v>#REF!</v>
      </c>
    </row>
    <row r="145" spans="1:6" x14ac:dyDescent="0.25">
      <c r="A145">
        <v>154</v>
      </c>
      <c r="B145">
        <f t="shared" si="2"/>
        <v>18.399999999999999</v>
      </c>
      <c r="C145">
        <v>164</v>
      </c>
      <c r="D145">
        <f>((C145-100)*Satser!$B$15)+$D$81</f>
        <v>15.8</v>
      </c>
      <c r="E145">
        <v>144</v>
      </c>
      <c r="F145" t="e">
        <f>((E145-50)*Satser!#REF!)+$F$51</f>
        <v>#REF!</v>
      </c>
    </row>
    <row r="146" spans="1:6" x14ac:dyDescent="0.25">
      <c r="A146">
        <v>155</v>
      </c>
      <c r="B146">
        <f t="shared" si="2"/>
        <v>18.5</v>
      </c>
      <c r="C146">
        <v>165</v>
      </c>
      <c r="D146">
        <f>((C146-100)*Satser!$B$15)+$D$81</f>
        <v>15.875</v>
      </c>
      <c r="E146">
        <v>145</v>
      </c>
      <c r="F146" t="e">
        <f>((E146-50)*Satser!#REF!)+$F$51</f>
        <v>#REF!</v>
      </c>
    </row>
    <row r="147" spans="1:6" x14ac:dyDescent="0.25">
      <c r="A147">
        <v>156</v>
      </c>
      <c r="B147">
        <f t="shared" si="2"/>
        <v>18.600000000000001</v>
      </c>
      <c r="C147">
        <v>166</v>
      </c>
      <c r="D147">
        <f>((C147-100)*Satser!$B$15)+$D$81</f>
        <v>15.95</v>
      </c>
      <c r="E147">
        <v>146</v>
      </c>
      <c r="F147" t="e">
        <f>((E147-50)*Satser!#REF!)+$F$51</f>
        <v>#REF!</v>
      </c>
    </row>
    <row r="148" spans="1:6" x14ac:dyDescent="0.25">
      <c r="A148">
        <v>157</v>
      </c>
      <c r="B148">
        <f t="shared" si="2"/>
        <v>18.700000000000003</v>
      </c>
      <c r="C148">
        <v>167</v>
      </c>
      <c r="D148">
        <f>((C148-100)*Satser!$B$15)+$D$81</f>
        <v>16.024999999999999</v>
      </c>
      <c r="E148">
        <v>147</v>
      </c>
      <c r="F148" t="e">
        <f>((E148-50)*Satser!#REF!)+$F$51</f>
        <v>#REF!</v>
      </c>
    </row>
    <row r="149" spans="1:6" x14ac:dyDescent="0.25">
      <c r="A149">
        <v>158</v>
      </c>
      <c r="B149">
        <f t="shared" si="2"/>
        <v>18.8</v>
      </c>
      <c r="C149">
        <v>168</v>
      </c>
      <c r="D149">
        <f>((C149-100)*Satser!$B$15)+$D$81</f>
        <v>16.100000000000001</v>
      </c>
      <c r="E149">
        <v>148</v>
      </c>
      <c r="F149" t="e">
        <f>((E149-50)*Satser!#REF!)+$F$51</f>
        <v>#REF!</v>
      </c>
    </row>
    <row r="150" spans="1:6" x14ac:dyDescent="0.25">
      <c r="A150">
        <v>159</v>
      </c>
      <c r="B150">
        <f t="shared" si="2"/>
        <v>18.899999999999999</v>
      </c>
      <c r="C150">
        <v>169</v>
      </c>
      <c r="D150">
        <f>((C150-100)*Satser!$B$15)+$D$81</f>
        <v>16.175000000000001</v>
      </c>
      <c r="E150">
        <v>149</v>
      </c>
      <c r="F150" t="e">
        <f>((E150-50)*Satser!#REF!)+$F$51</f>
        <v>#REF!</v>
      </c>
    </row>
    <row r="151" spans="1:6" x14ac:dyDescent="0.25">
      <c r="A151">
        <v>160</v>
      </c>
      <c r="B151">
        <f t="shared" si="2"/>
        <v>19</v>
      </c>
      <c r="C151">
        <v>170</v>
      </c>
      <c r="D151">
        <f>((C151-100)*Satser!$B$15)+$D$81</f>
        <v>16.25</v>
      </c>
      <c r="E151">
        <v>150</v>
      </c>
      <c r="F151" t="e">
        <f>((E151-50)*Satser!#REF!)+$F$51</f>
        <v>#REF!</v>
      </c>
    </row>
    <row r="152" spans="1:6" x14ac:dyDescent="0.25">
      <c r="A152">
        <v>161</v>
      </c>
      <c r="B152">
        <f t="shared" si="2"/>
        <v>19.100000000000001</v>
      </c>
      <c r="C152">
        <v>171</v>
      </c>
      <c r="D152">
        <f>((C152-100)*Satser!$B$15)+$D$81</f>
        <v>16.324999999999999</v>
      </c>
      <c r="E152">
        <v>151</v>
      </c>
      <c r="F152" t="e">
        <f>((E152-50)*Satser!#REF!)+$F$51</f>
        <v>#REF!</v>
      </c>
    </row>
    <row r="153" spans="1:6" x14ac:dyDescent="0.25">
      <c r="A153">
        <v>162</v>
      </c>
      <c r="B153">
        <f t="shared" si="2"/>
        <v>19.200000000000003</v>
      </c>
      <c r="C153">
        <v>172</v>
      </c>
      <c r="D153">
        <f>((C153-100)*Satser!$B$15)+$D$81</f>
        <v>16.399999999999999</v>
      </c>
      <c r="E153">
        <v>152</v>
      </c>
      <c r="F153" t="e">
        <f>((E153-50)*Satser!#REF!)+$F$51</f>
        <v>#REF!</v>
      </c>
    </row>
    <row r="154" spans="1:6" x14ac:dyDescent="0.25">
      <c r="A154">
        <v>163</v>
      </c>
      <c r="B154">
        <f t="shared" si="2"/>
        <v>19.3</v>
      </c>
      <c r="C154">
        <v>173</v>
      </c>
      <c r="D154">
        <f>((C154-100)*Satser!$B$15)+$D$81</f>
        <v>16.475000000000001</v>
      </c>
      <c r="E154">
        <v>153</v>
      </c>
      <c r="F154" t="e">
        <f>((E154-50)*Satser!#REF!)+$F$51</f>
        <v>#REF!</v>
      </c>
    </row>
    <row r="155" spans="1:6" x14ac:dyDescent="0.25">
      <c r="A155">
        <v>164</v>
      </c>
      <c r="B155">
        <f t="shared" si="2"/>
        <v>19.399999999999999</v>
      </c>
      <c r="C155">
        <v>174</v>
      </c>
      <c r="D155">
        <f>((C155-100)*Satser!$B$15)+$D$81</f>
        <v>16.55</v>
      </c>
      <c r="E155">
        <v>154</v>
      </c>
      <c r="F155" t="e">
        <f>((E155-50)*Satser!#REF!)+$F$51</f>
        <v>#REF!</v>
      </c>
    </row>
    <row r="156" spans="1:6" x14ac:dyDescent="0.25">
      <c r="A156">
        <v>165</v>
      </c>
      <c r="B156">
        <f t="shared" si="2"/>
        <v>19.5</v>
      </c>
      <c r="C156">
        <v>175</v>
      </c>
      <c r="D156">
        <f>((C156-100)*Satser!$B$15)+$D$81</f>
        <v>16.625</v>
      </c>
      <c r="E156">
        <v>155</v>
      </c>
      <c r="F156" t="e">
        <f>((E156-50)*Satser!#REF!)+$F$51</f>
        <v>#REF!</v>
      </c>
    </row>
    <row r="157" spans="1:6" x14ac:dyDescent="0.25">
      <c r="A157">
        <v>166</v>
      </c>
      <c r="B157">
        <f t="shared" si="2"/>
        <v>19.600000000000001</v>
      </c>
      <c r="C157">
        <v>176</v>
      </c>
      <c r="D157">
        <f>((C157-100)*Satser!$B$15)+$D$81</f>
        <v>16.7</v>
      </c>
      <c r="E157">
        <v>156</v>
      </c>
      <c r="F157" t="e">
        <f>((E157-50)*Satser!#REF!)+$F$51</f>
        <v>#REF!</v>
      </c>
    </row>
    <row r="158" spans="1:6" x14ac:dyDescent="0.25">
      <c r="A158">
        <v>167</v>
      </c>
      <c r="B158">
        <f t="shared" si="2"/>
        <v>19.700000000000003</v>
      </c>
      <c r="C158">
        <v>177</v>
      </c>
      <c r="D158">
        <f>((C158-100)*Satser!$B$15)+$D$81</f>
        <v>16.774999999999999</v>
      </c>
      <c r="E158">
        <v>157</v>
      </c>
      <c r="F158" t="e">
        <f>((E158-50)*Satser!#REF!)+$F$51</f>
        <v>#REF!</v>
      </c>
    </row>
    <row r="159" spans="1:6" x14ac:dyDescent="0.25">
      <c r="A159">
        <v>168</v>
      </c>
      <c r="B159">
        <f t="shared" si="2"/>
        <v>19.8</v>
      </c>
      <c r="C159">
        <v>178</v>
      </c>
      <c r="D159">
        <f>((C159-100)*Satser!$B$15)+$D$81</f>
        <v>16.850000000000001</v>
      </c>
      <c r="E159">
        <v>158</v>
      </c>
      <c r="F159" t="e">
        <f>((E159-50)*Satser!#REF!)+$F$51</f>
        <v>#REF!</v>
      </c>
    </row>
    <row r="160" spans="1:6" x14ac:dyDescent="0.25">
      <c r="A160">
        <v>169</v>
      </c>
      <c r="B160">
        <f t="shared" si="2"/>
        <v>19.899999999999999</v>
      </c>
      <c r="C160">
        <v>179</v>
      </c>
      <c r="D160">
        <f>((C160-100)*Satser!$B$15)+$D$81</f>
        <v>16.925000000000001</v>
      </c>
      <c r="E160">
        <v>159</v>
      </c>
      <c r="F160" t="e">
        <f>((E160-50)*Satser!#REF!)+$F$51</f>
        <v>#REF!</v>
      </c>
    </row>
    <row r="161" spans="1:6" x14ac:dyDescent="0.25">
      <c r="A161">
        <v>170</v>
      </c>
      <c r="B161">
        <f t="shared" si="2"/>
        <v>20</v>
      </c>
      <c r="C161">
        <v>180</v>
      </c>
      <c r="D161">
        <f>((C161-100)*Satser!$B$15)+$D$81</f>
        <v>17</v>
      </c>
      <c r="E161">
        <v>160</v>
      </c>
      <c r="F161" t="e">
        <f>((E161-50)*Satser!#REF!)+$F$51</f>
        <v>#REF!</v>
      </c>
    </row>
    <row r="162" spans="1:6" x14ac:dyDescent="0.25">
      <c r="A162">
        <v>171</v>
      </c>
      <c r="B162">
        <f t="shared" si="2"/>
        <v>20.100000000000001</v>
      </c>
      <c r="C162">
        <v>181</v>
      </c>
      <c r="D162">
        <f>((C162-100)*Satser!$B$15)+$D$81</f>
        <v>17.074999999999999</v>
      </c>
      <c r="E162">
        <v>161</v>
      </c>
      <c r="F162" t="e">
        <f>((E162-50)*Satser!#REF!)+$F$51</f>
        <v>#REF!</v>
      </c>
    </row>
    <row r="163" spans="1:6" x14ac:dyDescent="0.25">
      <c r="A163">
        <v>172</v>
      </c>
      <c r="B163">
        <f t="shared" si="2"/>
        <v>20.200000000000003</v>
      </c>
      <c r="C163">
        <v>182</v>
      </c>
      <c r="D163">
        <f>((C163-100)*Satser!$B$15)+$D$81</f>
        <v>17.149999999999999</v>
      </c>
      <c r="E163">
        <v>162</v>
      </c>
      <c r="F163" t="e">
        <f>((E163-50)*Satser!#REF!)+$F$51</f>
        <v>#REF!</v>
      </c>
    </row>
    <row r="164" spans="1:6" x14ac:dyDescent="0.25">
      <c r="A164">
        <v>173</v>
      </c>
      <c r="B164">
        <f t="shared" si="2"/>
        <v>20.3</v>
      </c>
      <c r="C164">
        <v>183</v>
      </c>
      <c r="D164">
        <f>((C164-100)*Satser!$B$15)+$D$81</f>
        <v>17.225000000000001</v>
      </c>
      <c r="E164">
        <v>163</v>
      </c>
      <c r="F164" t="e">
        <f>((E164-50)*Satser!#REF!)+$F$51</f>
        <v>#REF!</v>
      </c>
    </row>
    <row r="165" spans="1:6" x14ac:dyDescent="0.25">
      <c r="A165">
        <v>174</v>
      </c>
      <c r="B165">
        <f t="shared" si="2"/>
        <v>20.399999999999999</v>
      </c>
      <c r="C165">
        <v>184</v>
      </c>
      <c r="D165">
        <f>((C165-100)*Satser!$B$15)+$D$81</f>
        <v>17.3</v>
      </c>
      <c r="E165">
        <v>164</v>
      </c>
      <c r="F165" t="e">
        <f>((E165-50)*Satser!#REF!)+$F$51</f>
        <v>#REF!</v>
      </c>
    </row>
    <row r="166" spans="1:6" x14ac:dyDescent="0.25">
      <c r="A166">
        <v>175</v>
      </c>
      <c r="B166">
        <f t="shared" si="2"/>
        <v>20.5</v>
      </c>
      <c r="C166">
        <v>185</v>
      </c>
      <c r="D166">
        <f>((C166-100)*Satser!$B$15)+$D$81</f>
        <v>17.375</v>
      </c>
      <c r="E166">
        <v>165</v>
      </c>
      <c r="F166" t="e">
        <f>((E166-50)*Satser!#REF!)+$F$51</f>
        <v>#REF!</v>
      </c>
    </row>
    <row r="167" spans="1:6" x14ac:dyDescent="0.25">
      <c r="A167">
        <v>176</v>
      </c>
      <c r="B167">
        <f t="shared" si="2"/>
        <v>20.6</v>
      </c>
      <c r="C167">
        <v>186</v>
      </c>
      <c r="D167">
        <f>((C167-100)*Satser!$B$15)+$D$81</f>
        <v>17.45</v>
      </c>
      <c r="E167">
        <v>166</v>
      </c>
      <c r="F167" t="e">
        <f>((E167-50)*Satser!#REF!)+$F$51</f>
        <v>#REF!</v>
      </c>
    </row>
    <row r="168" spans="1:6" x14ac:dyDescent="0.25">
      <c r="A168">
        <v>177</v>
      </c>
      <c r="B168">
        <f t="shared" si="2"/>
        <v>20.700000000000003</v>
      </c>
      <c r="C168">
        <v>187</v>
      </c>
      <c r="D168">
        <f>((C168-100)*Satser!$B$15)+$D$81</f>
        <v>17.524999999999999</v>
      </c>
      <c r="E168">
        <v>167</v>
      </c>
      <c r="F168" t="e">
        <f>((E168-50)*Satser!#REF!)+$F$51</f>
        <v>#REF!</v>
      </c>
    </row>
    <row r="169" spans="1:6" x14ac:dyDescent="0.25">
      <c r="A169">
        <v>178</v>
      </c>
      <c r="B169">
        <f t="shared" si="2"/>
        <v>20.8</v>
      </c>
      <c r="C169">
        <v>188</v>
      </c>
      <c r="D169">
        <f>((C169-100)*Satser!$B$15)+$D$81</f>
        <v>17.600000000000001</v>
      </c>
      <c r="E169">
        <v>168</v>
      </c>
      <c r="F169" t="e">
        <f>((E169-50)*Satser!#REF!)+$F$51</f>
        <v>#REF!</v>
      </c>
    </row>
    <row r="170" spans="1:6" x14ac:dyDescent="0.25">
      <c r="A170">
        <v>179</v>
      </c>
      <c r="B170">
        <f t="shared" si="2"/>
        <v>20.9</v>
      </c>
      <c r="C170">
        <v>189</v>
      </c>
      <c r="D170">
        <f>((C170-100)*Satser!$B$15)+$D$81</f>
        <v>17.675000000000001</v>
      </c>
      <c r="E170">
        <v>169</v>
      </c>
      <c r="F170" t="e">
        <f>((E170-50)*Satser!#REF!)+$F$51</f>
        <v>#REF!</v>
      </c>
    </row>
    <row r="171" spans="1:6" x14ac:dyDescent="0.25">
      <c r="A171">
        <v>180</v>
      </c>
      <c r="B171">
        <f t="shared" ref="B171:B234" si="3">((A171-50)*0.1)+$B$41</f>
        <v>21</v>
      </c>
      <c r="C171">
        <v>190</v>
      </c>
      <c r="D171">
        <f>((C171-100)*Satser!$B$15)+$D$81</f>
        <v>17.75</v>
      </c>
      <c r="E171">
        <v>170</v>
      </c>
      <c r="F171" t="e">
        <f>((E171-50)*Satser!#REF!)+$F$51</f>
        <v>#REF!</v>
      </c>
    </row>
    <row r="172" spans="1:6" x14ac:dyDescent="0.25">
      <c r="A172">
        <v>181</v>
      </c>
      <c r="B172">
        <f t="shared" si="3"/>
        <v>21.1</v>
      </c>
      <c r="C172">
        <v>191</v>
      </c>
      <c r="D172">
        <f>((C172-100)*Satser!$B$15)+$D$81</f>
        <v>17.824999999999999</v>
      </c>
      <c r="E172">
        <v>171</v>
      </c>
      <c r="F172" t="e">
        <f>((E172-50)*Satser!#REF!)+$F$51</f>
        <v>#REF!</v>
      </c>
    </row>
    <row r="173" spans="1:6" x14ac:dyDescent="0.25">
      <c r="A173">
        <v>182</v>
      </c>
      <c r="B173">
        <f t="shared" si="3"/>
        <v>21.200000000000003</v>
      </c>
      <c r="C173">
        <v>192</v>
      </c>
      <c r="D173">
        <f>((C173-100)*Satser!$B$15)+$D$81</f>
        <v>17.899999999999999</v>
      </c>
      <c r="E173">
        <v>172</v>
      </c>
      <c r="F173" t="e">
        <f>((E173-50)*Satser!#REF!)+$F$51</f>
        <v>#REF!</v>
      </c>
    </row>
    <row r="174" spans="1:6" x14ac:dyDescent="0.25">
      <c r="A174">
        <v>183</v>
      </c>
      <c r="B174">
        <f t="shared" si="3"/>
        <v>21.3</v>
      </c>
      <c r="C174">
        <v>193</v>
      </c>
      <c r="D174">
        <f>((C174-100)*Satser!$B$15)+$D$81</f>
        <v>17.975000000000001</v>
      </c>
      <c r="E174">
        <v>173</v>
      </c>
      <c r="F174" t="e">
        <f>((E174-50)*Satser!#REF!)+$F$51</f>
        <v>#REF!</v>
      </c>
    </row>
    <row r="175" spans="1:6" x14ac:dyDescent="0.25">
      <c r="A175">
        <v>184</v>
      </c>
      <c r="B175">
        <f t="shared" si="3"/>
        <v>21.4</v>
      </c>
      <c r="C175">
        <v>194</v>
      </c>
      <c r="D175">
        <f>((C175-100)*Satser!$B$15)+$D$81</f>
        <v>18.05</v>
      </c>
      <c r="E175">
        <v>174</v>
      </c>
      <c r="F175" t="e">
        <f>((E175-50)*Satser!#REF!)+$F$51</f>
        <v>#REF!</v>
      </c>
    </row>
    <row r="176" spans="1:6" x14ac:dyDescent="0.25">
      <c r="A176">
        <v>185</v>
      </c>
      <c r="B176">
        <f t="shared" si="3"/>
        <v>21.5</v>
      </c>
      <c r="C176">
        <v>195</v>
      </c>
      <c r="D176">
        <f>((C176-100)*Satser!$B$15)+$D$81</f>
        <v>18.125</v>
      </c>
      <c r="E176">
        <v>175</v>
      </c>
      <c r="F176" t="e">
        <f>((E176-50)*Satser!#REF!)+$F$51</f>
        <v>#REF!</v>
      </c>
    </row>
    <row r="177" spans="1:6" x14ac:dyDescent="0.25">
      <c r="A177">
        <v>186</v>
      </c>
      <c r="B177">
        <f t="shared" si="3"/>
        <v>21.6</v>
      </c>
      <c r="C177">
        <v>196</v>
      </c>
      <c r="D177">
        <f>((C177-100)*Satser!$B$15)+$D$81</f>
        <v>18.2</v>
      </c>
      <c r="E177">
        <v>176</v>
      </c>
      <c r="F177" t="e">
        <f>((E177-50)*Satser!#REF!)+$F$51</f>
        <v>#REF!</v>
      </c>
    </row>
    <row r="178" spans="1:6" x14ac:dyDescent="0.25">
      <c r="A178">
        <v>187</v>
      </c>
      <c r="B178">
        <f t="shared" si="3"/>
        <v>21.700000000000003</v>
      </c>
      <c r="C178">
        <v>197</v>
      </c>
      <c r="D178">
        <f>((C178-100)*Satser!$B$15)+$D$81</f>
        <v>18.274999999999999</v>
      </c>
      <c r="E178">
        <v>177</v>
      </c>
      <c r="F178" t="e">
        <f>((E178-50)*Satser!#REF!)+$F$51</f>
        <v>#REF!</v>
      </c>
    </row>
    <row r="179" spans="1:6" x14ac:dyDescent="0.25">
      <c r="A179">
        <v>188</v>
      </c>
      <c r="B179">
        <f t="shared" si="3"/>
        <v>21.8</v>
      </c>
      <c r="C179">
        <v>198</v>
      </c>
      <c r="D179">
        <f>((C179-100)*Satser!$B$15)+$D$81</f>
        <v>18.350000000000001</v>
      </c>
      <c r="E179">
        <v>178</v>
      </c>
      <c r="F179" t="e">
        <f>((E179-50)*Satser!#REF!)+$F$51</f>
        <v>#REF!</v>
      </c>
    </row>
    <row r="180" spans="1:6" x14ac:dyDescent="0.25">
      <c r="A180">
        <v>189</v>
      </c>
      <c r="B180">
        <f t="shared" si="3"/>
        <v>21.9</v>
      </c>
      <c r="C180">
        <v>199</v>
      </c>
      <c r="D180">
        <f>((C180-100)*Satser!$B$15)+$D$81</f>
        <v>18.425000000000001</v>
      </c>
      <c r="E180">
        <v>179</v>
      </c>
      <c r="F180" t="e">
        <f>((E180-50)*Satser!#REF!)+$F$51</f>
        <v>#REF!</v>
      </c>
    </row>
    <row r="181" spans="1:6" x14ac:dyDescent="0.25">
      <c r="A181">
        <v>190</v>
      </c>
      <c r="B181">
        <f t="shared" si="3"/>
        <v>22</v>
      </c>
      <c r="C181">
        <v>200</v>
      </c>
      <c r="D181">
        <f>((C181-100)*Satser!$B$15)+$D$81</f>
        <v>18.5</v>
      </c>
      <c r="E181">
        <v>180</v>
      </c>
      <c r="F181" t="e">
        <f>((E181-50)*Satser!#REF!)+$F$51</f>
        <v>#REF!</v>
      </c>
    </row>
    <row r="182" spans="1:6" x14ac:dyDescent="0.25">
      <c r="A182">
        <v>191</v>
      </c>
      <c r="B182">
        <f t="shared" si="3"/>
        <v>22.1</v>
      </c>
      <c r="C182">
        <v>201</v>
      </c>
      <c r="D182">
        <f>((C182-100)*Satser!$B$15)+$D$81</f>
        <v>18.574999999999999</v>
      </c>
      <c r="E182">
        <v>181</v>
      </c>
      <c r="F182" t="e">
        <f>((E182-50)*Satser!#REF!)+$F$51</f>
        <v>#REF!</v>
      </c>
    </row>
    <row r="183" spans="1:6" x14ac:dyDescent="0.25">
      <c r="A183">
        <v>192</v>
      </c>
      <c r="B183">
        <f t="shared" si="3"/>
        <v>22.200000000000003</v>
      </c>
      <c r="C183">
        <v>202</v>
      </c>
      <c r="D183">
        <f>((C183-100)*Satser!$B$15)+$D$81</f>
        <v>18.649999999999999</v>
      </c>
      <c r="E183">
        <v>182</v>
      </c>
      <c r="F183" t="e">
        <f>((E183-50)*Satser!#REF!)+$F$51</f>
        <v>#REF!</v>
      </c>
    </row>
    <row r="184" spans="1:6" x14ac:dyDescent="0.25">
      <c r="A184">
        <v>193</v>
      </c>
      <c r="B184">
        <f t="shared" si="3"/>
        <v>22.3</v>
      </c>
      <c r="C184">
        <v>203</v>
      </c>
      <c r="D184">
        <f>((C184-100)*Satser!$B$15)+$D$81</f>
        <v>18.725000000000001</v>
      </c>
      <c r="E184">
        <v>183</v>
      </c>
      <c r="F184" t="e">
        <f>((E184-50)*Satser!#REF!)+$F$51</f>
        <v>#REF!</v>
      </c>
    </row>
    <row r="185" spans="1:6" x14ac:dyDescent="0.25">
      <c r="A185">
        <v>194</v>
      </c>
      <c r="B185">
        <f t="shared" si="3"/>
        <v>22.4</v>
      </c>
      <c r="C185">
        <v>204</v>
      </c>
      <c r="D185">
        <f>((C185-100)*Satser!$B$15)+$D$81</f>
        <v>18.8</v>
      </c>
      <c r="E185">
        <v>184</v>
      </c>
      <c r="F185" t="e">
        <f>((E185-50)*Satser!#REF!)+$F$51</f>
        <v>#REF!</v>
      </c>
    </row>
    <row r="186" spans="1:6" x14ac:dyDescent="0.25">
      <c r="A186">
        <v>195</v>
      </c>
      <c r="B186">
        <f t="shared" si="3"/>
        <v>22.5</v>
      </c>
      <c r="C186">
        <v>205</v>
      </c>
      <c r="D186">
        <f>((C186-100)*Satser!$B$15)+$D$81</f>
        <v>18.875</v>
      </c>
      <c r="E186">
        <v>185</v>
      </c>
      <c r="F186" t="e">
        <f>((E186-50)*Satser!#REF!)+$F$51</f>
        <v>#REF!</v>
      </c>
    </row>
    <row r="187" spans="1:6" x14ac:dyDescent="0.25">
      <c r="A187">
        <v>196</v>
      </c>
      <c r="B187">
        <f t="shared" si="3"/>
        <v>22.6</v>
      </c>
      <c r="C187">
        <v>206</v>
      </c>
      <c r="D187">
        <f>((C187-100)*Satser!$B$15)+$D$81</f>
        <v>18.95</v>
      </c>
      <c r="E187">
        <v>186</v>
      </c>
      <c r="F187" t="e">
        <f>((E187-50)*Satser!#REF!)+$F$51</f>
        <v>#REF!</v>
      </c>
    </row>
    <row r="188" spans="1:6" x14ac:dyDescent="0.25">
      <c r="A188">
        <v>197</v>
      </c>
      <c r="B188">
        <f t="shared" si="3"/>
        <v>22.700000000000003</v>
      </c>
      <c r="C188">
        <v>207</v>
      </c>
      <c r="D188">
        <f>((C188-100)*Satser!$B$15)+$D$81</f>
        <v>19.024999999999999</v>
      </c>
      <c r="E188">
        <v>187</v>
      </c>
      <c r="F188" t="e">
        <f>((E188-50)*Satser!#REF!)+$F$51</f>
        <v>#REF!</v>
      </c>
    </row>
    <row r="189" spans="1:6" x14ac:dyDescent="0.25">
      <c r="A189">
        <v>198</v>
      </c>
      <c r="B189">
        <f t="shared" si="3"/>
        <v>22.8</v>
      </c>
      <c r="C189">
        <v>208</v>
      </c>
      <c r="D189">
        <f>((C189-100)*Satser!$B$15)+$D$81</f>
        <v>19.100000000000001</v>
      </c>
      <c r="E189">
        <v>188</v>
      </c>
      <c r="F189" t="e">
        <f>((E189-50)*Satser!#REF!)+$F$51</f>
        <v>#REF!</v>
      </c>
    </row>
    <row r="190" spans="1:6" x14ac:dyDescent="0.25">
      <c r="A190">
        <v>199</v>
      </c>
      <c r="B190">
        <f t="shared" si="3"/>
        <v>22.9</v>
      </c>
      <c r="C190">
        <v>209</v>
      </c>
      <c r="D190">
        <f>((C190-100)*Satser!$B$15)+$D$81</f>
        <v>19.174999999999997</v>
      </c>
      <c r="E190">
        <v>189</v>
      </c>
      <c r="F190" t="e">
        <f>((E190-50)*Satser!#REF!)+$F$51</f>
        <v>#REF!</v>
      </c>
    </row>
    <row r="191" spans="1:6" x14ac:dyDescent="0.25">
      <c r="A191">
        <v>200</v>
      </c>
      <c r="B191">
        <f t="shared" si="3"/>
        <v>23</v>
      </c>
      <c r="C191">
        <v>210</v>
      </c>
      <c r="D191">
        <f>((C191-100)*Satser!$B$15)+$D$81</f>
        <v>19.25</v>
      </c>
      <c r="E191">
        <v>190</v>
      </c>
      <c r="F191" t="e">
        <f>((E191-50)*Satser!#REF!)+$F$51</f>
        <v>#REF!</v>
      </c>
    </row>
    <row r="192" spans="1:6" x14ac:dyDescent="0.25">
      <c r="A192">
        <v>201</v>
      </c>
      <c r="B192">
        <f t="shared" si="3"/>
        <v>23.1</v>
      </c>
      <c r="C192">
        <v>211</v>
      </c>
      <c r="D192">
        <f>((C192-100)*Satser!$B$15)+$D$81</f>
        <v>19.324999999999999</v>
      </c>
      <c r="E192">
        <v>191</v>
      </c>
      <c r="F192" t="e">
        <f>((E192-50)*Satser!#REF!)+$F$51</f>
        <v>#REF!</v>
      </c>
    </row>
    <row r="193" spans="1:6" x14ac:dyDescent="0.25">
      <c r="A193">
        <v>202</v>
      </c>
      <c r="B193">
        <f t="shared" si="3"/>
        <v>23.200000000000003</v>
      </c>
      <c r="C193">
        <v>212</v>
      </c>
      <c r="D193">
        <f>((C193-100)*Satser!$B$15)+$D$81</f>
        <v>19.399999999999999</v>
      </c>
      <c r="E193">
        <v>192</v>
      </c>
      <c r="F193" t="e">
        <f>((E193-50)*Satser!#REF!)+$F$51</f>
        <v>#REF!</v>
      </c>
    </row>
    <row r="194" spans="1:6" x14ac:dyDescent="0.25">
      <c r="A194">
        <v>203</v>
      </c>
      <c r="B194">
        <f t="shared" si="3"/>
        <v>23.3</v>
      </c>
      <c r="C194">
        <v>213</v>
      </c>
      <c r="D194">
        <f>((C194-100)*Satser!$B$15)+$D$81</f>
        <v>19.475000000000001</v>
      </c>
      <c r="E194">
        <v>193</v>
      </c>
      <c r="F194" t="e">
        <f>((E194-50)*Satser!#REF!)+$F$51</f>
        <v>#REF!</v>
      </c>
    </row>
    <row r="195" spans="1:6" x14ac:dyDescent="0.25">
      <c r="A195">
        <v>204</v>
      </c>
      <c r="B195">
        <f t="shared" si="3"/>
        <v>23.4</v>
      </c>
      <c r="C195">
        <v>214</v>
      </c>
      <c r="D195">
        <f>((C195-100)*Satser!$B$15)+$D$81</f>
        <v>19.549999999999997</v>
      </c>
      <c r="E195">
        <v>194</v>
      </c>
      <c r="F195" t="e">
        <f>((E195-50)*Satser!#REF!)+$F$51</f>
        <v>#REF!</v>
      </c>
    </row>
    <row r="196" spans="1:6" x14ac:dyDescent="0.25">
      <c r="A196">
        <v>205</v>
      </c>
      <c r="B196">
        <f t="shared" si="3"/>
        <v>23.5</v>
      </c>
      <c r="C196">
        <v>215</v>
      </c>
      <c r="D196">
        <f>((C196-100)*Satser!$B$15)+$D$81</f>
        <v>19.625</v>
      </c>
      <c r="E196">
        <v>195</v>
      </c>
      <c r="F196" t="e">
        <f>((E196-50)*Satser!#REF!)+$F$51</f>
        <v>#REF!</v>
      </c>
    </row>
    <row r="197" spans="1:6" x14ac:dyDescent="0.25">
      <c r="A197">
        <v>206</v>
      </c>
      <c r="B197">
        <f t="shared" si="3"/>
        <v>23.6</v>
      </c>
      <c r="C197">
        <v>216</v>
      </c>
      <c r="D197">
        <f>((C197-100)*Satser!$B$15)+$D$81</f>
        <v>19.7</v>
      </c>
      <c r="E197">
        <v>196</v>
      </c>
      <c r="F197" t="e">
        <f>((E197-50)*Satser!#REF!)+$F$51</f>
        <v>#REF!</v>
      </c>
    </row>
    <row r="198" spans="1:6" x14ac:dyDescent="0.25">
      <c r="A198">
        <v>207</v>
      </c>
      <c r="B198">
        <f t="shared" si="3"/>
        <v>23.700000000000003</v>
      </c>
      <c r="C198">
        <v>217</v>
      </c>
      <c r="D198">
        <f>((C198-100)*Satser!$B$15)+$D$81</f>
        <v>19.774999999999999</v>
      </c>
      <c r="E198">
        <v>197</v>
      </c>
      <c r="F198" t="e">
        <f>((E198-50)*Satser!#REF!)+$F$51</f>
        <v>#REF!</v>
      </c>
    </row>
    <row r="199" spans="1:6" x14ac:dyDescent="0.25">
      <c r="A199">
        <v>208</v>
      </c>
      <c r="B199">
        <f t="shared" si="3"/>
        <v>23.8</v>
      </c>
      <c r="C199">
        <v>218</v>
      </c>
      <c r="D199">
        <f>((C199-100)*Satser!$B$15)+$D$81</f>
        <v>19.850000000000001</v>
      </c>
      <c r="E199">
        <v>198</v>
      </c>
      <c r="F199" t="e">
        <f>((E199-50)*Satser!#REF!)+$F$51</f>
        <v>#REF!</v>
      </c>
    </row>
    <row r="200" spans="1:6" x14ac:dyDescent="0.25">
      <c r="A200">
        <v>209</v>
      </c>
      <c r="B200">
        <f t="shared" si="3"/>
        <v>23.9</v>
      </c>
      <c r="C200">
        <v>219</v>
      </c>
      <c r="D200">
        <f>((C200-100)*Satser!$B$15)+$D$81</f>
        <v>19.924999999999997</v>
      </c>
      <c r="E200">
        <v>199</v>
      </c>
      <c r="F200" t="e">
        <f>((E200-50)*Satser!#REF!)+$F$51</f>
        <v>#REF!</v>
      </c>
    </row>
    <row r="201" spans="1:6" x14ac:dyDescent="0.25">
      <c r="A201">
        <v>210</v>
      </c>
      <c r="B201">
        <f t="shared" si="3"/>
        <v>24</v>
      </c>
      <c r="C201">
        <v>220</v>
      </c>
      <c r="D201">
        <f>((C201-100)*Satser!$B$15)+$D$81</f>
        <v>20</v>
      </c>
      <c r="E201">
        <v>200</v>
      </c>
      <c r="F201" t="e">
        <f>((E201-50)*Satser!#REF!)+$F$51</f>
        <v>#REF!</v>
      </c>
    </row>
    <row r="202" spans="1:6" x14ac:dyDescent="0.25">
      <c r="A202">
        <v>211</v>
      </c>
      <c r="B202">
        <f t="shared" si="3"/>
        <v>24.1</v>
      </c>
      <c r="C202">
        <v>221</v>
      </c>
      <c r="D202">
        <f>((C202-100)*Satser!$B$15)+$D$81</f>
        <v>20.074999999999999</v>
      </c>
      <c r="E202">
        <v>201</v>
      </c>
      <c r="F202" t="e">
        <f>((E202-50)*Satser!#REF!)+$F$51</f>
        <v>#REF!</v>
      </c>
    </row>
    <row r="203" spans="1:6" x14ac:dyDescent="0.25">
      <c r="A203">
        <v>212</v>
      </c>
      <c r="B203">
        <f t="shared" si="3"/>
        <v>24.2</v>
      </c>
      <c r="C203">
        <v>222</v>
      </c>
      <c r="D203">
        <f>((C203-100)*Satser!$B$15)+$D$81</f>
        <v>20.149999999999999</v>
      </c>
      <c r="E203">
        <v>202</v>
      </c>
      <c r="F203" t="e">
        <f>((E203-50)*Satser!#REF!)+$F$51</f>
        <v>#REF!</v>
      </c>
    </row>
    <row r="204" spans="1:6" x14ac:dyDescent="0.25">
      <c r="A204">
        <v>213</v>
      </c>
      <c r="B204">
        <f t="shared" si="3"/>
        <v>24.3</v>
      </c>
      <c r="C204">
        <v>223</v>
      </c>
      <c r="D204">
        <f>((C204-100)*Satser!$B$15)+$D$81</f>
        <v>20.225000000000001</v>
      </c>
      <c r="E204">
        <v>203</v>
      </c>
      <c r="F204" t="e">
        <f>((E204-50)*Satser!#REF!)+$F$51</f>
        <v>#REF!</v>
      </c>
    </row>
    <row r="205" spans="1:6" x14ac:dyDescent="0.25">
      <c r="A205">
        <v>214</v>
      </c>
      <c r="B205">
        <f t="shared" si="3"/>
        <v>24.400000000000002</v>
      </c>
      <c r="C205">
        <v>224</v>
      </c>
      <c r="D205">
        <f>((C205-100)*Satser!$B$15)+$D$81</f>
        <v>20.299999999999997</v>
      </c>
      <c r="E205">
        <v>204</v>
      </c>
      <c r="F205" t="e">
        <f>((E205-50)*Satser!#REF!)+$F$51</f>
        <v>#REF!</v>
      </c>
    </row>
    <row r="206" spans="1:6" x14ac:dyDescent="0.25">
      <c r="A206">
        <v>215</v>
      </c>
      <c r="B206">
        <f t="shared" si="3"/>
        <v>24.5</v>
      </c>
      <c r="C206">
        <v>225</v>
      </c>
      <c r="D206">
        <f>((C206-100)*Satser!$B$15)+$D$81</f>
        <v>20.375</v>
      </c>
      <c r="E206">
        <v>205</v>
      </c>
      <c r="F206" t="e">
        <f>((E206-50)*Satser!#REF!)+$F$51</f>
        <v>#REF!</v>
      </c>
    </row>
    <row r="207" spans="1:6" x14ac:dyDescent="0.25">
      <c r="A207">
        <v>216</v>
      </c>
      <c r="B207">
        <f t="shared" si="3"/>
        <v>24.6</v>
      </c>
      <c r="C207">
        <v>226</v>
      </c>
      <c r="D207">
        <f>((C207-100)*Satser!$B$15)+$D$81</f>
        <v>20.45</v>
      </c>
      <c r="E207">
        <v>206</v>
      </c>
      <c r="F207" t="e">
        <f>((E207-50)*Satser!#REF!)+$F$51</f>
        <v>#REF!</v>
      </c>
    </row>
    <row r="208" spans="1:6" x14ac:dyDescent="0.25">
      <c r="A208">
        <v>217</v>
      </c>
      <c r="B208">
        <f t="shared" si="3"/>
        <v>24.7</v>
      </c>
      <c r="C208">
        <v>227</v>
      </c>
      <c r="D208">
        <f>((C208-100)*Satser!$B$15)+$D$81</f>
        <v>20.524999999999999</v>
      </c>
      <c r="E208">
        <v>207</v>
      </c>
      <c r="F208" t="e">
        <f>((E208-50)*Satser!#REF!)+$F$51</f>
        <v>#REF!</v>
      </c>
    </row>
    <row r="209" spans="1:6" x14ac:dyDescent="0.25">
      <c r="A209">
        <v>218</v>
      </c>
      <c r="B209">
        <f t="shared" si="3"/>
        <v>24.8</v>
      </c>
      <c r="C209">
        <v>228</v>
      </c>
      <c r="D209">
        <f>((C209-100)*Satser!$B$15)+$D$81</f>
        <v>20.6</v>
      </c>
      <c r="E209">
        <v>208</v>
      </c>
      <c r="F209" t="e">
        <f>((E209-50)*Satser!#REF!)+$F$51</f>
        <v>#REF!</v>
      </c>
    </row>
    <row r="210" spans="1:6" x14ac:dyDescent="0.25">
      <c r="A210">
        <v>219</v>
      </c>
      <c r="B210">
        <f t="shared" si="3"/>
        <v>24.900000000000002</v>
      </c>
      <c r="C210">
        <v>229</v>
      </c>
      <c r="D210">
        <f>((C210-100)*Satser!$B$15)+$D$81</f>
        <v>20.674999999999997</v>
      </c>
      <c r="E210">
        <v>209</v>
      </c>
      <c r="F210" t="e">
        <f>((E210-50)*Satser!#REF!)+$F$51</f>
        <v>#REF!</v>
      </c>
    </row>
    <row r="211" spans="1:6" x14ac:dyDescent="0.25">
      <c r="A211">
        <v>220</v>
      </c>
      <c r="B211">
        <f t="shared" si="3"/>
        <v>25</v>
      </c>
      <c r="C211">
        <v>230</v>
      </c>
      <c r="D211">
        <f>((C211-100)*Satser!$B$15)+$D$81</f>
        <v>20.75</v>
      </c>
      <c r="E211">
        <v>210</v>
      </c>
      <c r="F211" t="e">
        <f>((E211-50)*Satser!#REF!)+$F$51</f>
        <v>#REF!</v>
      </c>
    </row>
    <row r="212" spans="1:6" x14ac:dyDescent="0.25">
      <c r="A212">
        <v>221</v>
      </c>
      <c r="B212">
        <f t="shared" si="3"/>
        <v>25.1</v>
      </c>
      <c r="C212">
        <v>231</v>
      </c>
      <c r="D212">
        <f>((C212-100)*Satser!$B$15)+$D$81</f>
        <v>20.824999999999999</v>
      </c>
      <c r="E212">
        <v>211</v>
      </c>
      <c r="F212" t="e">
        <f>((E212-50)*Satser!#REF!)+$F$51</f>
        <v>#REF!</v>
      </c>
    </row>
    <row r="213" spans="1:6" x14ac:dyDescent="0.25">
      <c r="A213">
        <v>222</v>
      </c>
      <c r="B213">
        <f t="shared" si="3"/>
        <v>25.2</v>
      </c>
      <c r="C213">
        <v>232</v>
      </c>
      <c r="D213">
        <f>((C213-100)*Satser!$B$15)+$D$81</f>
        <v>20.9</v>
      </c>
      <c r="E213">
        <v>212</v>
      </c>
      <c r="F213" t="e">
        <f>((E213-50)*Satser!#REF!)+$F$51</f>
        <v>#REF!</v>
      </c>
    </row>
    <row r="214" spans="1:6" x14ac:dyDescent="0.25">
      <c r="A214">
        <v>223</v>
      </c>
      <c r="B214">
        <f t="shared" si="3"/>
        <v>25.3</v>
      </c>
      <c r="C214">
        <v>233</v>
      </c>
      <c r="D214">
        <f>((C214-100)*Satser!$B$15)+$D$81</f>
        <v>20.975000000000001</v>
      </c>
      <c r="E214">
        <v>213</v>
      </c>
      <c r="F214" t="e">
        <f>((E214-50)*Satser!#REF!)+$F$51</f>
        <v>#REF!</v>
      </c>
    </row>
    <row r="215" spans="1:6" x14ac:dyDescent="0.25">
      <c r="A215">
        <v>224</v>
      </c>
      <c r="B215">
        <f t="shared" si="3"/>
        <v>25.400000000000002</v>
      </c>
      <c r="C215">
        <v>234</v>
      </c>
      <c r="D215">
        <f>((C215-100)*Satser!$B$15)+$D$81</f>
        <v>21.049999999999997</v>
      </c>
      <c r="E215">
        <v>214</v>
      </c>
      <c r="F215" t="e">
        <f>((E215-50)*Satser!#REF!)+$F$51</f>
        <v>#REF!</v>
      </c>
    </row>
    <row r="216" spans="1:6" x14ac:dyDescent="0.25">
      <c r="A216">
        <v>225</v>
      </c>
      <c r="B216">
        <f t="shared" si="3"/>
        <v>25.5</v>
      </c>
      <c r="C216">
        <v>235</v>
      </c>
      <c r="D216">
        <f>((C216-100)*Satser!$B$15)+$D$81</f>
        <v>21.125</v>
      </c>
      <c r="E216">
        <v>215</v>
      </c>
      <c r="F216" t="e">
        <f>((E216-50)*Satser!#REF!)+$F$51</f>
        <v>#REF!</v>
      </c>
    </row>
    <row r="217" spans="1:6" x14ac:dyDescent="0.25">
      <c r="A217">
        <v>226</v>
      </c>
      <c r="B217">
        <f t="shared" si="3"/>
        <v>25.6</v>
      </c>
      <c r="C217">
        <v>236</v>
      </c>
      <c r="D217">
        <f>((C217-100)*Satser!$B$15)+$D$81</f>
        <v>21.2</v>
      </c>
      <c r="E217">
        <v>216</v>
      </c>
      <c r="F217" t="e">
        <f>((E217-50)*Satser!#REF!)+$F$51</f>
        <v>#REF!</v>
      </c>
    </row>
    <row r="218" spans="1:6" x14ac:dyDescent="0.25">
      <c r="A218">
        <v>227</v>
      </c>
      <c r="B218">
        <f t="shared" si="3"/>
        <v>25.7</v>
      </c>
      <c r="C218">
        <v>237</v>
      </c>
      <c r="D218">
        <f>((C218-100)*Satser!$B$15)+$D$81</f>
        <v>21.274999999999999</v>
      </c>
      <c r="E218">
        <v>217</v>
      </c>
      <c r="F218" t="e">
        <f>((E218-50)*Satser!#REF!)+$F$51</f>
        <v>#REF!</v>
      </c>
    </row>
    <row r="219" spans="1:6" x14ac:dyDescent="0.25">
      <c r="A219">
        <v>228</v>
      </c>
      <c r="B219">
        <f t="shared" si="3"/>
        <v>25.8</v>
      </c>
      <c r="C219">
        <v>238</v>
      </c>
      <c r="D219">
        <f>((C219-100)*Satser!$B$15)+$D$81</f>
        <v>21.35</v>
      </c>
      <c r="E219">
        <v>218</v>
      </c>
      <c r="F219" t="e">
        <f>((E219-50)*Satser!#REF!)+$F$51</f>
        <v>#REF!</v>
      </c>
    </row>
    <row r="220" spans="1:6" x14ac:dyDescent="0.25">
      <c r="A220">
        <v>229</v>
      </c>
      <c r="B220">
        <f t="shared" si="3"/>
        <v>25.900000000000002</v>
      </c>
      <c r="C220">
        <v>239</v>
      </c>
      <c r="D220">
        <f>((C220-100)*Satser!$B$15)+$D$81</f>
        <v>21.424999999999997</v>
      </c>
      <c r="E220">
        <v>219</v>
      </c>
      <c r="F220" t="e">
        <f>((E220-50)*Satser!#REF!)+$F$51</f>
        <v>#REF!</v>
      </c>
    </row>
    <row r="221" spans="1:6" x14ac:dyDescent="0.25">
      <c r="A221">
        <v>230</v>
      </c>
      <c r="B221">
        <f t="shared" si="3"/>
        <v>26</v>
      </c>
      <c r="C221">
        <v>240</v>
      </c>
      <c r="D221">
        <f>((C221-100)*Satser!$B$15)+$D$81</f>
        <v>21.5</v>
      </c>
      <c r="E221">
        <v>220</v>
      </c>
      <c r="F221" t="e">
        <f>((E221-50)*Satser!#REF!)+$F$51</f>
        <v>#REF!</v>
      </c>
    </row>
    <row r="222" spans="1:6" x14ac:dyDescent="0.25">
      <c r="A222">
        <v>231</v>
      </c>
      <c r="B222">
        <f t="shared" si="3"/>
        <v>26.1</v>
      </c>
      <c r="C222">
        <v>241</v>
      </c>
      <c r="D222">
        <f>((C222-100)*Satser!$B$15)+$D$81</f>
        <v>21.574999999999999</v>
      </c>
      <c r="E222">
        <v>221</v>
      </c>
      <c r="F222" t="e">
        <f>((E222-50)*Satser!#REF!)+$F$51</f>
        <v>#REF!</v>
      </c>
    </row>
    <row r="223" spans="1:6" x14ac:dyDescent="0.25">
      <c r="A223">
        <v>232</v>
      </c>
      <c r="B223">
        <f t="shared" si="3"/>
        <v>26.2</v>
      </c>
      <c r="C223">
        <v>242</v>
      </c>
      <c r="D223">
        <f>((C223-100)*Satser!$B$15)+$D$81</f>
        <v>21.65</v>
      </c>
      <c r="E223">
        <v>222</v>
      </c>
      <c r="F223" t="e">
        <f>((E223-50)*Satser!#REF!)+$F$51</f>
        <v>#REF!</v>
      </c>
    </row>
    <row r="224" spans="1:6" x14ac:dyDescent="0.25">
      <c r="A224">
        <v>233</v>
      </c>
      <c r="B224">
        <f t="shared" si="3"/>
        <v>26.3</v>
      </c>
      <c r="C224">
        <v>243</v>
      </c>
      <c r="D224">
        <f>((C224-100)*Satser!$B$15)+$D$81</f>
        <v>21.725000000000001</v>
      </c>
      <c r="E224">
        <v>223</v>
      </c>
      <c r="F224" t="e">
        <f>((E224-50)*Satser!#REF!)+$F$51</f>
        <v>#REF!</v>
      </c>
    </row>
    <row r="225" spans="1:6" x14ac:dyDescent="0.25">
      <c r="A225">
        <v>234</v>
      </c>
      <c r="B225">
        <f t="shared" si="3"/>
        <v>26.400000000000002</v>
      </c>
      <c r="C225">
        <v>244</v>
      </c>
      <c r="D225">
        <f>((C225-100)*Satser!$B$15)+$D$81</f>
        <v>21.799999999999997</v>
      </c>
      <c r="E225">
        <v>224</v>
      </c>
      <c r="F225" t="e">
        <f>((E225-50)*Satser!#REF!)+$F$51</f>
        <v>#REF!</v>
      </c>
    </row>
    <row r="226" spans="1:6" x14ac:dyDescent="0.25">
      <c r="A226">
        <v>235</v>
      </c>
      <c r="B226">
        <f t="shared" si="3"/>
        <v>26.5</v>
      </c>
      <c r="C226">
        <v>245</v>
      </c>
      <c r="D226">
        <f>((C226-100)*Satser!$B$15)+$D$81</f>
        <v>21.875</v>
      </c>
      <c r="E226">
        <v>225</v>
      </c>
      <c r="F226" t="e">
        <f>((E226-50)*Satser!#REF!)+$F$51</f>
        <v>#REF!</v>
      </c>
    </row>
    <row r="227" spans="1:6" x14ac:dyDescent="0.25">
      <c r="A227">
        <v>236</v>
      </c>
      <c r="B227">
        <f t="shared" si="3"/>
        <v>26.6</v>
      </c>
      <c r="C227">
        <v>246</v>
      </c>
      <c r="D227">
        <f>((C227-100)*Satser!$B$15)+$D$81</f>
        <v>21.95</v>
      </c>
      <c r="E227">
        <v>226</v>
      </c>
      <c r="F227" t="e">
        <f>((E227-50)*Satser!#REF!)+$F$51</f>
        <v>#REF!</v>
      </c>
    </row>
    <row r="228" spans="1:6" x14ac:dyDescent="0.25">
      <c r="A228">
        <v>237</v>
      </c>
      <c r="B228">
        <f t="shared" si="3"/>
        <v>26.7</v>
      </c>
      <c r="C228">
        <v>247</v>
      </c>
      <c r="D228">
        <f>((C228-100)*Satser!$B$15)+$D$81</f>
        <v>22.024999999999999</v>
      </c>
      <c r="E228">
        <v>227</v>
      </c>
      <c r="F228" t="e">
        <f>((E228-50)*Satser!#REF!)+$F$51</f>
        <v>#REF!</v>
      </c>
    </row>
    <row r="229" spans="1:6" x14ac:dyDescent="0.25">
      <c r="A229">
        <v>238</v>
      </c>
      <c r="B229">
        <f t="shared" si="3"/>
        <v>26.8</v>
      </c>
      <c r="C229">
        <v>248</v>
      </c>
      <c r="D229">
        <f>((C229-100)*Satser!$B$15)+$D$81</f>
        <v>22.1</v>
      </c>
      <c r="E229">
        <v>228</v>
      </c>
      <c r="F229" t="e">
        <f>((E229-50)*Satser!#REF!)+$F$51</f>
        <v>#REF!</v>
      </c>
    </row>
    <row r="230" spans="1:6" x14ac:dyDescent="0.25">
      <c r="A230">
        <v>239</v>
      </c>
      <c r="B230">
        <f t="shared" si="3"/>
        <v>26.900000000000002</v>
      </c>
      <c r="C230">
        <v>249</v>
      </c>
      <c r="D230">
        <f>((C230-100)*Satser!$B$15)+$D$81</f>
        <v>22.174999999999997</v>
      </c>
      <c r="E230">
        <v>229</v>
      </c>
      <c r="F230" t="e">
        <f>((E230-50)*Satser!#REF!)+$F$51</f>
        <v>#REF!</v>
      </c>
    </row>
    <row r="231" spans="1:6" x14ac:dyDescent="0.25">
      <c r="A231">
        <v>240</v>
      </c>
      <c r="B231">
        <f t="shared" si="3"/>
        <v>27</v>
      </c>
      <c r="C231">
        <v>250</v>
      </c>
      <c r="D231">
        <f>((C231-100)*Satser!$B$15)+$D$81</f>
        <v>22.25</v>
      </c>
      <c r="E231">
        <v>230</v>
      </c>
      <c r="F231" t="e">
        <f>((E231-50)*Satser!#REF!)+$F$51</f>
        <v>#REF!</v>
      </c>
    </row>
    <row r="232" spans="1:6" x14ac:dyDescent="0.25">
      <c r="A232">
        <v>241</v>
      </c>
      <c r="B232">
        <f t="shared" si="3"/>
        <v>27.1</v>
      </c>
      <c r="C232">
        <v>251</v>
      </c>
      <c r="D232">
        <f>((C232-100)*Satser!$B$15)+$D$81</f>
        <v>22.324999999999999</v>
      </c>
      <c r="E232">
        <v>231</v>
      </c>
      <c r="F232" t="e">
        <f>((E232-50)*Satser!#REF!)+$F$51</f>
        <v>#REF!</v>
      </c>
    </row>
    <row r="233" spans="1:6" x14ac:dyDescent="0.25">
      <c r="A233">
        <v>242</v>
      </c>
      <c r="B233">
        <f t="shared" si="3"/>
        <v>27.200000000000003</v>
      </c>
      <c r="C233">
        <v>252</v>
      </c>
      <c r="D233">
        <f>((C233-100)*Satser!$B$15)+$D$81</f>
        <v>22.4</v>
      </c>
      <c r="E233">
        <v>232</v>
      </c>
      <c r="F233" t="e">
        <f>((E233-50)*Satser!#REF!)+$F$51</f>
        <v>#REF!</v>
      </c>
    </row>
    <row r="234" spans="1:6" x14ac:dyDescent="0.25">
      <c r="A234">
        <v>243</v>
      </c>
      <c r="B234">
        <f t="shared" si="3"/>
        <v>27.3</v>
      </c>
      <c r="C234">
        <v>253</v>
      </c>
      <c r="D234">
        <f>((C234-100)*Satser!$B$15)+$D$81</f>
        <v>22.475000000000001</v>
      </c>
      <c r="E234">
        <v>233</v>
      </c>
      <c r="F234" t="e">
        <f>((E234-50)*Satser!#REF!)+$F$51</f>
        <v>#REF!</v>
      </c>
    </row>
    <row r="235" spans="1:6" x14ac:dyDescent="0.25">
      <c r="A235">
        <v>244</v>
      </c>
      <c r="B235">
        <f t="shared" ref="B235:B291" si="4">((A235-50)*0.1)+$B$41</f>
        <v>27.400000000000002</v>
      </c>
      <c r="C235">
        <v>254</v>
      </c>
      <c r="D235">
        <f>((C235-100)*Satser!$B$15)+$D$81</f>
        <v>22.549999999999997</v>
      </c>
      <c r="E235">
        <v>234</v>
      </c>
      <c r="F235" t="e">
        <f>((E235-50)*Satser!#REF!)+$F$51</f>
        <v>#REF!</v>
      </c>
    </row>
    <row r="236" spans="1:6" x14ac:dyDescent="0.25">
      <c r="A236">
        <v>245</v>
      </c>
      <c r="B236">
        <f t="shared" si="4"/>
        <v>27.5</v>
      </c>
      <c r="C236">
        <v>255</v>
      </c>
      <c r="D236">
        <f>((C236-100)*Satser!$B$15)+$D$81</f>
        <v>22.625</v>
      </c>
      <c r="E236">
        <v>235</v>
      </c>
      <c r="F236" t="e">
        <f>((E236-50)*Satser!#REF!)+$F$51</f>
        <v>#REF!</v>
      </c>
    </row>
    <row r="237" spans="1:6" x14ac:dyDescent="0.25">
      <c r="A237">
        <v>246</v>
      </c>
      <c r="B237">
        <f t="shared" si="4"/>
        <v>27.6</v>
      </c>
      <c r="C237">
        <v>256</v>
      </c>
      <c r="D237">
        <f>((C237-100)*Satser!$B$15)+$D$81</f>
        <v>22.7</v>
      </c>
      <c r="E237">
        <v>236</v>
      </c>
      <c r="F237" t="e">
        <f>((E237-50)*Satser!#REF!)+$F$51</f>
        <v>#REF!</v>
      </c>
    </row>
    <row r="238" spans="1:6" x14ac:dyDescent="0.25">
      <c r="A238">
        <v>247</v>
      </c>
      <c r="B238">
        <f t="shared" si="4"/>
        <v>27.700000000000003</v>
      </c>
      <c r="C238">
        <v>257</v>
      </c>
      <c r="D238">
        <f>((C238-100)*Satser!$B$15)+$D$81</f>
        <v>22.774999999999999</v>
      </c>
      <c r="E238">
        <v>237</v>
      </c>
      <c r="F238" t="e">
        <f>((E238-50)*Satser!#REF!)+$F$51</f>
        <v>#REF!</v>
      </c>
    </row>
    <row r="239" spans="1:6" x14ac:dyDescent="0.25">
      <c r="A239">
        <v>248</v>
      </c>
      <c r="B239">
        <f t="shared" si="4"/>
        <v>27.8</v>
      </c>
      <c r="C239">
        <v>258</v>
      </c>
      <c r="D239">
        <f>((C239-100)*Satser!$B$15)+$D$81</f>
        <v>22.85</v>
      </c>
      <c r="E239">
        <v>238</v>
      </c>
      <c r="F239" t="e">
        <f>((E239-50)*Satser!#REF!)+$F$51</f>
        <v>#REF!</v>
      </c>
    </row>
    <row r="240" spans="1:6" x14ac:dyDescent="0.25">
      <c r="A240">
        <v>249</v>
      </c>
      <c r="B240">
        <f t="shared" si="4"/>
        <v>27.900000000000002</v>
      </c>
      <c r="C240">
        <v>259</v>
      </c>
      <c r="D240">
        <f>((C240-100)*Satser!$B$15)+$D$81</f>
        <v>22.924999999999997</v>
      </c>
      <c r="E240">
        <v>239</v>
      </c>
      <c r="F240" t="e">
        <f>((E240-50)*Satser!#REF!)+$F$51</f>
        <v>#REF!</v>
      </c>
    </row>
    <row r="241" spans="1:6" x14ac:dyDescent="0.25">
      <c r="A241">
        <v>250</v>
      </c>
      <c r="B241">
        <f t="shared" si="4"/>
        <v>28</v>
      </c>
      <c r="C241">
        <v>260</v>
      </c>
      <c r="D241">
        <f>((C241-100)*Satser!$B$15)+$D$81</f>
        <v>23</v>
      </c>
      <c r="E241">
        <v>240</v>
      </c>
      <c r="F241" t="e">
        <f>((E241-50)*Satser!#REF!)+$F$51</f>
        <v>#REF!</v>
      </c>
    </row>
    <row r="242" spans="1:6" x14ac:dyDescent="0.25">
      <c r="A242">
        <v>251</v>
      </c>
      <c r="B242">
        <f t="shared" si="4"/>
        <v>28.1</v>
      </c>
      <c r="C242">
        <v>261</v>
      </c>
      <c r="D242">
        <f>((C242-100)*Satser!$B$15)+$D$81</f>
        <v>23.074999999999999</v>
      </c>
      <c r="E242">
        <v>241</v>
      </c>
      <c r="F242" t="e">
        <f>((E242-50)*Satser!#REF!)+$F$51</f>
        <v>#REF!</v>
      </c>
    </row>
    <row r="243" spans="1:6" x14ac:dyDescent="0.25">
      <c r="A243">
        <v>252</v>
      </c>
      <c r="B243">
        <f t="shared" si="4"/>
        <v>28.200000000000003</v>
      </c>
      <c r="C243">
        <v>262</v>
      </c>
      <c r="D243">
        <f>((C243-100)*Satser!$B$15)+$D$81</f>
        <v>23.15</v>
      </c>
      <c r="E243">
        <v>242</v>
      </c>
      <c r="F243" t="e">
        <f>((E243-50)*Satser!#REF!)+$F$51</f>
        <v>#REF!</v>
      </c>
    </row>
    <row r="244" spans="1:6" x14ac:dyDescent="0.25">
      <c r="A244">
        <v>253</v>
      </c>
      <c r="B244">
        <f t="shared" si="4"/>
        <v>28.3</v>
      </c>
      <c r="C244">
        <v>263</v>
      </c>
      <c r="D244">
        <f>((C244-100)*Satser!$B$15)+$D$81</f>
        <v>23.225000000000001</v>
      </c>
      <c r="E244">
        <v>243</v>
      </c>
      <c r="F244" t="e">
        <f>((E244-50)*Satser!#REF!)+$F$51</f>
        <v>#REF!</v>
      </c>
    </row>
    <row r="245" spans="1:6" x14ac:dyDescent="0.25">
      <c r="A245">
        <v>254</v>
      </c>
      <c r="B245">
        <f t="shared" si="4"/>
        <v>28.400000000000002</v>
      </c>
      <c r="C245">
        <v>264</v>
      </c>
      <c r="D245">
        <f>((C245-100)*Satser!$B$15)+$D$81</f>
        <v>23.299999999999997</v>
      </c>
      <c r="E245">
        <v>244</v>
      </c>
      <c r="F245" t="e">
        <f>((E245-50)*Satser!#REF!)+$F$51</f>
        <v>#REF!</v>
      </c>
    </row>
    <row r="246" spans="1:6" x14ac:dyDescent="0.25">
      <c r="A246">
        <v>255</v>
      </c>
      <c r="B246">
        <f t="shared" si="4"/>
        <v>28.5</v>
      </c>
      <c r="C246">
        <v>265</v>
      </c>
      <c r="D246">
        <f>((C246-100)*Satser!$B$15)+$D$81</f>
        <v>23.375</v>
      </c>
      <c r="E246">
        <v>245</v>
      </c>
      <c r="F246" t="e">
        <f>((E246-50)*Satser!#REF!)+$F$51</f>
        <v>#REF!</v>
      </c>
    </row>
    <row r="247" spans="1:6" x14ac:dyDescent="0.25">
      <c r="A247">
        <v>256</v>
      </c>
      <c r="B247">
        <f t="shared" si="4"/>
        <v>28.6</v>
      </c>
      <c r="C247">
        <v>266</v>
      </c>
      <c r="D247">
        <f>((C247-100)*Satser!$B$15)+$D$81</f>
        <v>23.45</v>
      </c>
      <c r="E247">
        <v>246</v>
      </c>
      <c r="F247" t="e">
        <f>((E247-50)*Satser!#REF!)+$F$51</f>
        <v>#REF!</v>
      </c>
    </row>
    <row r="248" spans="1:6" x14ac:dyDescent="0.25">
      <c r="A248">
        <v>257</v>
      </c>
      <c r="B248">
        <f t="shared" si="4"/>
        <v>28.700000000000003</v>
      </c>
      <c r="C248">
        <v>267</v>
      </c>
      <c r="D248">
        <f>((C248-100)*Satser!$B$15)+$D$81</f>
        <v>23.524999999999999</v>
      </c>
      <c r="E248">
        <v>247</v>
      </c>
      <c r="F248" t="e">
        <f>((E248-50)*Satser!#REF!)+$F$51</f>
        <v>#REF!</v>
      </c>
    </row>
    <row r="249" spans="1:6" x14ac:dyDescent="0.25">
      <c r="A249">
        <v>258</v>
      </c>
      <c r="B249">
        <f t="shared" si="4"/>
        <v>28.8</v>
      </c>
      <c r="C249">
        <v>268</v>
      </c>
      <c r="D249">
        <f>((C249-100)*Satser!$B$15)+$D$81</f>
        <v>23.6</v>
      </c>
      <c r="E249">
        <v>248</v>
      </c>
      <c r="F249" t="e">
        <f>((E249-50)*Satser!#REF!)+$F$51</f>
        <v>#REF!</v>
      </c>
    </row>
    <row r="250" spans="1:6" x14ac:dyDescent="0.25">
      <c r="A250">
        <v>259</v>
      </c>
      <c r="B250">
        <f t="shared" si="4"/>
        <v>28.900000000000002</v>
      </c>
      <c r="C250">
        <v>269</v>
      </c>
      <c r="D250">
        <f>((C250-100)*Satser!$B$15)+$D$81</f>
        <v>23.674999999999997</v>
      </c>
      <c r="E250">
        <v>249</v>
      </c>
      <c r="F250" t="e">
        <f>((E250-50)*Satser!#REF!)+$F$51</f>
        <v>#REF!</v>
      </c>
    </row>
    <row r="251" spans="1:6" x14ac:dyDescent="0.25">
      <c r="A251">
        <v>260</v>
      </c>
      <c r="B251">
        <f t="shared" si="4"/>
        <v>29</v>
      </c>
      <c r="C251">
        <v>270</v>
      </c>
      <c r="D251">
        <f>((C251-100)*Satser!$B$15)+$D$81</f>
        <v>23.75</v>
      </c>
      <c r="E251">
        <v>250</v>
      </c>
      <c r="F251" t="e">
        <f>((E251-50)*Satser!#REF!)+$F$51</f>
        <v>#REF!</v>
      </c>
    </row>
    <row r="252" spans="1:6" x14ac:dyDescent="0.25">
      <c r="A252">
        <v>261</v>
      </c>
      <c r="B252">
        <f t="shared" si="4"/>
        <v>29.1</v>
      </c>
      <c r="C252">
        <v>271</v>
      </c>
      <c r="D252">
        <f>((C252-100)*Satser!$B$15)+$D$81</f>
        <v>23.824999999999999</v>
      </c>
      <c r="E252">
        <v>251</v>
      </c>
      <c r="F252" t="e">
        <f>((E252-50)*Satser!#REF!)+$F$51</f>
        <v>#REF!</v>
      </c>
    </row>
    <row r="253" spans="1:6" x14ac:dyDescent="0.25">
      <c r="A253">
        <v>262</v>
      </c>
      <c r="B253">
        <f t="shared" si="4"/>
        <v>29.200000000000003</v>
      </c>
      <c r="C253">
        <v>272</v>
      </c>
      <c r="D253">
        <f>((C253-100)*Satser!$B$15)+$D$81</f>
        <v>23.9</v>
      </c>
      <c r="E253">
        <v>252</v>
      </c>
      <c r="F253" t="e">
        <f>((E253-50)*Satser!#REF!)+$F$51</f>
        <v>#REF!</v>
      </c>
    </row>
    <row r="254" spans="1:6" x14ac:dyDescent="0.25">
      <c r="A254">
        <v>263</v>
      </c>
      <c r="B254">
        <f t="shared" si="4"/>
        <v>29.3</v>
      </c>
      <c r="C254">
        <v>273</v>
      </c>
      <c r="D254">
        <f>((C254-100)*Satser!$B$15)+$D$81</f>
        <v>23.975000000000001</v>
      </c>
      <c r="E254">
        <v>253</v>
      </c>
      <c r="F254" t="e">
        <f>((E254-50)*Satser!#REF!)+$F$51</f>
        <v>#REF!</v>
      </c>
    </row>
    <row r="255" spans="1:6" x14ac:dyDescent="0.25">
      <c r="A255">
        <v>264</v>
      </c>
      <c r="B255">
        <f t="shared" si="4"/>
        <v>29.400000000000002</v>
      </c>
      <c r="C255">
        <v>274</v>
      </c>
      <c r="D255">
        <f>((C255-100)*Satser!$B$15)+$D$81</f>
        <v>24.049999999999997</v>
      </c>
      <c r="E255">
        <v>254</v>
      </c>
      <c r="F255" t="e">
        <f>((E255-50)*Satser!#REF!)+$F$51</f>
        <v>#REF!</v>
      </c>
    </row>
    <row r="256" spans="1:6" x14ac:dyDescent="0.25">
      <c r="A256">
        <v>265</v>
      </c>
      <c r="B256">
        <f t="shared" si="4"/>
        <v>29.5</v>
      </c>
      <c r="C256">
        <v>275</v>
      </c>
      <c r="D256">
        <f>((C256-100)*Satser!$B$15)+$D$81</f>
        <v>24.125</v>
      </c>
      <c r="E256">
        <v>255</v>
      </c>
      <c r="F256" t="e">
        <f>((E256-50)*Satser!#REF!)+$F$51</f>
        <v>#REF!</v>
      </c>
    </row>
    <row r="257" spans="1:6" x14ac:dyDescent="0.25">
      <c r="A257">
        <v>266</v>
      </c>
      <c r="B257">
        <f t="shared" si="4"/>
        <v>29.6</v>
      </c>
      <c r="C257">
        <v>276</v>
      </c>
      <c r="D257">
        <f>((C257-100)*Satser!$B$15)+$D$81</f>
        <v>24.2</v>
      </c>
      <c r="E257">
        <v>256</v>
      </c>
      <c r="F257" t="e">
        <f>((E257-50)*Satser!#REF!)+$F$51</f>
        <v>#REF!</v>
      </c>
    </row>
    <row r="258" spans="1:6" x14ac:dyDescent="0.25">
      <c r="A258">
        <v>267</v>
      </c>
      <c r="B258">
        <f t="shared" si="4"/>
        <v>29.700000000000003</v>
      </c>
      <c r="C258">
        <v>277</v>
      </c>
      <c r="D258">
        <f>((C258-100)*Satser!$B$15)+$D$81</f>
        <v>24.274999999999999</v>
      </c>
      <c r="E258">
        <v>257</v>
      </c>
      <c r="F258" t="e">
        <f>((E258-50)*Satser!#REF!)+$F$51</f>
        <v>#REF!</v>
      </c>
    </row>
    <row r="259" spans="1:6" x14ac:dyDescent="0.25">
      <c r="A259">
        <v>268</v>
      </c>
      <c r="B259">
        <f t="shared" si="4"/>
        <v>29.8</v>
      </c>
      <c r="C259">
        <v>278</v>
      </c>
      <c r="D259">
        <f>((C259-100)*Satser!$B$15)+$D$81</f>
        <v>24.35</v>
      </c>
      <c r="E259">
        <v>258</v>
      </c>
      <c r="F259" t="e">
        <f>((E259-50)*Satser!#REF!)+$F$51</f>
        <v>#REF!</v>
      </c>
    </row>
    <row r="260" spans="1:6" x14ac:dyDescent="0.25">
      <c r="A260">
        <v>269</v>
      </c>
      <c r="B260">
        <f t="shared" si="4"/>
        <v>29.900000000000002</v>
      </c>
      <c r="C260">
        <v>279</v>
      </c>
      <c r="D260">
        <f>((C260-100)*Satser!$B$15)+$D$81</f>
        <v>24.424999999999997</v>
      </c>
      <c r="E260">
        <v>259</v>
      </c>
      <c r="F260" t="e">
        <f>((E260-50)*Satser!#REF!)+$F$51</f>
        <v>#REF!</v>
      </c>
    </row>
    <row r="261" spans="1:6" x14ac:dyDescent="0.25">
      <c r="A261">
        <v>270</v>
      </c>
      <c r="B261">
        <f t="shared" si="4"/>
        <v>30</v>
      </c>
      <c r="C261">
        <v>280</v>
      </c>
      <c r="D261">
        <f>((C261-100)*Satser!$B$15)+$D$81</f>
        <v>24.5</v>
      </c>
      <c r="E261">
        <v>260</v>
      </c>
      <c r="F261" t="e">
        <f>((E261-50)*Satser!#REF!)+$F$51</f>
        <v>#REF!</v>
      </c>
    </row>
    <row r="262" spans="1:6" x14ac:dyDescent="0.25">
      <c r="A262">
        <v>271</v>
      </c>
      <c r="B262">
        <f t="shared" si="4"/>
        <v>30.1</v>
      </c>
      <c r="C262">
        <v>281</v>
      </c>
      <c r="D262">
        <f>((C262-100)*Satser!$B$15)+$D$81</f>
        <v>24.574999999999999</v>
      </c>
      <c r="E262">
        <v>261</v>
      </c>
      <c r="F262" t="e">
        <f>((E262-50)*Satser!#REF!)+$F$51</f>
        <v>#REF!</v>
      </c>
    </row>
    <row r="263" spans="1:6" x14ac:dyDescent="0.25">
      <c r="A263">
        <v>272</v>
      </c>
      <c r="B263">
        <f t="shared" si="4"/>
        <v>30.200000000000003</v>
      </c>
      <c r="C263">
        <v>282</v>
      </c>
      <c r="D263">
        <f>((C263-100)*Satser!$B$15)+$D$81</f>
        <v>24.65</v>
      </c>
      <c r="E263">
        <v>262</v>
      </c>
      <c r="F263" t="e">
        <f>((E263-50)*Satser!#REF!)+$F$51</f>
        <v>#REF!</v>
      </c>
    </row>
    <row r="264" spans="1:6" x14ac:dyDescent="0.25">
      <c r="A264">
        <v>273</v>
      </c>
      <c r="B264">
        <f t="shared" si="4"/>
        <v>30.3</v>
      </c>
      <c r="C264">
        <v>283</v>
      </c>
      <c r="D264">
        <f>((C264-100)*Satser!$B$15)+$D$81</f>
        <v>24.725000000000001</v>
      </c>
      <c r="E264">
        <v>263</v>
      </c>
      <c r="F264" t="e">
        <f>((E264-50)*Satser!#REF!)+$F$51</f>
        <v>#REF!</v>
      </c>
    </row>
    <row r="265" spans="1:6" x14ac:dyDescent="0.25">
      <c r="A265">
        <v>274</v>
      </c>
      <c r="B265">
        <f t="shared" si="4"/>
        <v>30.400000000000002</v>
      </c>
      <c r="C265">
        <v>284</v>
      </c>
      <c r="D265">
        <f>((C265-100)*Satser!$B$15)+$D$81</f>
        <v>24.799999999999997</v>
      </c>
      <c r="E265">
        <v>264</v>
      </c>
      <c r="F265" t="e">
        <f>((E265-50)*Satser!#REF!)+$F$51</f>
        <v>#REF!</v>
      </c>
    </row>
    <row r="266" spans="1:6" x14ac:dyDescent="0.25">
      <c r="A266">
        <v>275</v>
      </c>
      <c r="B266">
        <f t="shared" si="4"/>
        <v>30.5</v>
      </c>
      <c r="C266">
        <v>285</v>
      </c>
      <c r="D266">
        <f>((C266-100)*Satser!$B$15)+$D$81</f>
        <v>24.875</v>
      </c>
      <c r="E266">
        <v>265</v>
      </c>
      <c r="F266" t="e">
        <f>((E266-50)*Satser!#REF!)+$F$51</f>
        <v>#REF!</v>
      </c>
    </row>
    <row r="267" spans="1:6" x14ac:dyDescent="0.25">
      <c r="A267">
        <v>276</v>
      </c>
      <c r="B267">
        <f t="shared" si="4"/>
        <v>30.6</v>
      </c>
      <c r="C267">
        <v>286</v>
      </c>
      <c r="D267">
        <f>((C267-100)*Satser!$B$15)+$D$81</f>
        <v>24.95</v>
      </c>
      <c r="E267">
        <v>266</v>
      </c>
      <c r="F267" t="e">
        <f>((E267-50)*Satser!#REF!)+$F$51</f>
        <v>#REF!</v>
      </c>
    </row>
    <row r="268" spans="1:6" x14ac:dyDescent="0.25">
      <c r="A268">
        <v>277</v>
      </c>
      <c r="B268">
        <f t="shared" si="4"/>
        <v>30.700000000000003</v>
      </c>
      <c r="C268">
        <v>287</v>
      </c>
      <c r="D268">
        <f>((C268-100)*Satser!$B$15)+$D$81</f>
        <v>25.024999999999999</v>
      </c>
      <c r="E268">
        <v>267</v>
      </c>
      <c r="F268" t="e">
        <f>((E268-50)*Satser!#REF!)+$F$51</f>
        <v>#REF!</v>
      </c>
    </row>
    <row r="269" spans="1:6" x14ac:dyDescent="0.25">
      <c r="A269">
        <v>278</v>
      </c>
      <c r="B269">
        <f t="shared" si="4"/>
        <v>30.8</v>
      </c>
      <c r="C269">
        <v>288</v>
      </c>
      <c r="D269">
        <f>((C269-100)*Satser!$B$15)+$D$81</f>
        <v>25.1</v>
      </c>
      <c r="E269">
        <v>268</v>
      </c>
      <c r="F269" t="e">
        <f>((E269-50)*Satser!#REF!)+$F$51</f>
        <v>#REF!</v>
      </c>
    </row>
    <row r="270" spans="1:6" x14ac:dyDescent="0.25">
      <c r="A270">
        <v>279</v>
      </c>
      <c r="B270">
        <f t="shared" si="4"/>
        <v>30.900000000000002</v>
      </c>
      <c r="C270">
        <v>289</v>
      </c>
      <c r="D270">
        <f>((C270-100)*Satser!$B$15)+$D$81</f>
        <v>25.174999999999997</v>
      </c>
      <c r="E270">
        <v>269</v>
      </c>
      <c r="F270" t="e">
        <f>((E270-50)*Satser!#REF!)+$F$51</f>
        <v>#REF!</v>
      </c>
    </row>
    <row r="271" spans="1:6" x14ac:dyDescent="0.25">
      <c r="A271">
        <v>280</v>
      </c>
      <c r="B271">
        <f t="shared" si="4"/>
        <v>31</v>
      </c>
      <c r="C271">
        <v>290</v>
      </c>
      <c r="D271">
        <f>((C271-100)*Satser!$B$15)+$D$81</f>
        <v>25.25</v>
      </c>
      <c r="E271">
        <v>270</v>
      </c>
      <c r="F271" t="e">
        <f>((E271-50)*Satser!#REF!)+$F$51</f>
        <v>#REF!</v>
      </c>
    </row>
    <row r="272" spans="1:6" x14ac:dyDescent="0.25">
      <c r="A272">
        <v>281</v>
      </c>
      <c r="B272">
        <f t="shared" si="4"/>
        <v>31.1</v>
      </c>
      <c r="C272">
        <v>291</v>
      </c>
      <c r="D272">
        <f>((C272-100)*Satser!$B$15)+$D$81</f>
        <v>25.324999999999999</v>
      </c>
      <c r="E272">
        <v>271</v>
      </c>
      <c r="F272" t="e">
        <f>((E272-50)*Satser!#REF!)+$F$51</f>
        <v>#REF!</v>
      </c>
    </row>
    <row r="273" spans="1:6" x14ac:dyDescent="0.25">
      <c r="A273">
        <v>282</v>
      </c>
      <c r="B273">
        <f t="shared" si="4"/>
        <v>31.200000000000003</v>
      </c>
      <c r="C273">
        <v>292</v>
      </c>
      <c r="D273">
        <f>((C273-100)*Satser!$B$15)+$D$81</f>
        <v>25.4</v>
      </c>
      <c r="E273">
        <v>272</v>
      </c>
      <c r="F273" t="e">
        <f>((E273-50)*Satser!#REF!)+$F$51</f>
        <v>#REF!</v>
      </c>
    </row>
    <row r="274" spans="1:6" x14ac:dyDescent="0.25">
      <c r="A274">
        <v>283</v>
      </c>
      <c r="B274">
        <f t="shared" si="4"/>
        <v>31.3</v>
      </c>
      <c r="C274">
        <v>293</v>
      </c>
      <c r="D274">
        <f>((C274-100)*Satser!$B$15)+$D$81</f>
        <v>25.475000000000001</v>
      </c>
      <c r="E274">
        <v>273</v>
      </c>
      <c r="F274" t="e">
        <f>((E274-50)*Satser!#REF!)+$F$51</f>
        <v>#REF!</v>
      </c>
    </row>
    <row r="275" spans="1:6" x14ac:dyDescent="0.25">
      <c r="A275">
        <v>284</v>
      </c>
      <c r="B275">
        <f t="shared" si="4"/>
        <v>31.400000000000002</v>
      </c>
      <c r="C275">
        <v>294</v>
      </c>
      <c r="D275">
        <f>((C275-100)*Satser!$B$15)+$D$81</f>
        <v>25.549999999999997</v>
      </c>
      <c r="E275">
        <v>274</v>
      </c>
      <c r="F275" t="e">
        <f>((E275-50)*Satser!#REF!)+$F$51</f>
        <v>#REF!</v>
      </c>
    </row>
    <row r="276" spans="1:6" x14ac:dyDescent="0.25">
      <c r="A276">
        <v>285</v>
      </c>
      <c r="B276">
        <f t="shared" si="4"/>
        <v>31.5</v>
      </c>
      <c r="C276">
        <v>295</v>
      </c>
      <c r="D276">
        <f>((C276-100)*Satser!$B$15)+$D$81</f>
        <v>25.625</v>
      </c>
      <c r="E276">
        <v>275</v>
      </c>
      <c r="F276" t="e">
        <f>((E276-50)*Satser!#REF!)+$F$51</f>
        <v>#REF!</v>
      </c>
    </row>
    <row r="277" spans="1:6" x14ac:dyDescent="0.25">
      <c r="A277">
        <v>286</v>
      </c>
      <c r="B277">
        <f t="shared" si="4"/>
        <v>31.6</v>
      </c>
      <c r="C277">
        <v>296</v>
      </c>
      <c r="D277">
        <f>((C277-100)*Satser!$B$15)+$D$81</f>
        <v>25.7</v>
      </c>
      <c r="E277">
        <v>276</v>
      </c>
      <c r="F277" t="e">
        <f>((E277-50)*Satser!#REF!)+$F$51</f>
        <v>#REF!</v>
      </c>
    </row>
    <row r="278" spans="1:6" x14ac:dyDescent="0.25">
      <c r="A278">
        <v>287</v>
      </c>
      <c r="B278">
        <f t="shared" si="4"/>
        <v>31.700000000000003</v>
      </c>
      <c r="C278">
        <v>297</v>
      </c>
      <c r="D278">
        <f>((C278-100)*Satser!$B$15)+$D$81</f>
        <v>25.774999999999999</v>
      </c>
      <c r="E278">
        <v>277</v>
      </c>
      <c r="F278" t="e">
        <f>((E278-50)*Satser!#REF!)+$F$51</f>
        <v>#REF!</v>
      </c>
    </row>
    <row r="279" spans="1:6" x14ac:dyDescent="0.25">
      <c r="A279">
        <v>288</v>
      </c>
      <c r="B279">
        <f t="shared" si="4"/>
        <v>31.8</v>
      </c>
      <c r="C279">
        <v>298</v>
      </c>
      <c r="D279">
        <f>((C279-100)*Satser!$B$15)+$D$81</f>
        <v>25.85</v>
      </c>
      <c r="E279">
        <v>278</v>
      </c>
      <c r="F279" t="e">
        <f>((E279-50)*Satser!#REF!)+$F$51</f>
        <v>#REF!</v>
      </c>
    </row>
    <row r="280" spans="1:6" x14ac:dyDescent="0.25">
      <c r="A280">
        <v>289</v>
      </c>
      <c r="B280">
        <f t="shared" si="4"/>
        <v>31.900000000000002</v>
      </c>
      <c r="C280">
        <v>299</v>
      </c>
      <c r="D280">
        <f>((C280-100)*Satser!$B$15)+$D$81</f>
        <v>25.924999999999997</v>
      </c>
      <c r="E280">
        <v>279</v>
      </c>
      <c r="F280" t="e">
        <f>((E280-50)*Satser!#REF!)+$F$51</f>
        <v>#REF!</v>
      </c>
    </row>
    <row r="281" spans="1:6" x14ac:dyDescent="0.25">
      <c r="A281">
        <v>290</v>
      </c>
      <c r="B281">
        <f t="shared" si="4"/>
        <v>32</v>
      </c>
      <c r="C281">
        <v>300</v>
      </c>
      <c r="D281">
        <f>((C281-100)*Satser!$B$15)+$D$81</f>
        <v>26</v>
      </c>
      <c r="E281">
        <v>280</v>
      </c>
      <c r="F281" t="e">
        <f>((E281-50)*Satser!#REF!)+$F$51</f>
        <v>#REF!</v>
      </c>
    </row>
    <row r="282" spans="1:6" x14ac:dyDescent="0.25">
      <c r="A282">
        <v>291</v>
      </c>
      <c r="B282">
        <f t="shared" si="4"/>
        <v>32.1</v>
      </c>
    </row>
    <row r="283" spans="1:6" x14ac:dyDescent="0.25">
      <c r="A283">
        <v>292</v>
      </c>
      <c r="B283">
        <f t="shared" si="4"/>
        <v>32.200000000000003</v>
      </c>
    </row>
    <row r="284" spans="1:6" x14ac:dyDescent="0.25">
      <c r="A284">
        <v>293</v>
      </c>
      <c r="B284">
        <f t="shared" si="4"/>
        <v>32.299999999999997</v>
      </c>
    </row>
    <row r="285" spans="1:6" x14ac:dyDescent="0.25">
      <c r="A285">
        <v>294</v>
      </c>
      <c r="B285">
        <f t="shared" si="4"/>
        <v>32.400000000000006</v>
      </c>
    </row>
    <row r="286" spans="1:6" x14ac:dyDescent="0.25">
      <c r="A286">
        <v>295</v>
      </c>
      <c r="B286">
        <f t="shared" si="4"/>
        <v>32.5</v>
      </c>
    </row>
    <row r="287" spans="1:6" x14ac:dyDescent="0.25">
      <c r="A287">
        <v>296</v>
      </c>
      <c r="B287">
        <f t="shared" si="4"/>
        <v>32.6</v>
      </c>
    </row>
    <row r="288" spans="1:6" x14ac:dyDescent="0.25">
      <c r="A288">
        <v>297</v>
      </c>
      <c r="B288">
        <f t="shared" si="4"/>
        <v>32.700000000000003</v>
      </c>
    </row>
    <row r="289" spans="1:2" x14ac:dyDescent="0.25">
      <c r="A289">
        <v>298</v>
      </c>
      <c r="B289">
        <f t="shared" si="4"/>
        <v>32.799999999999997</v>
      </c>
    </row>
    <row r="290" spans="1:2" x14ac:dyDescent="0.25">
      <c r="A290">
        <v>299</v>
      </c>
      <c r="B290">
        <f t="shared" si="4"/>
        <v>32.900000000000006</v>
      </c>
    </row>
    <row r="291" spans="1:2" x14ac:dyDescent="0.25">
      <c r="A291">
        <v>300</v>
      </c>
      <c r="B291">
        <f t="shared" si="4"/>
        <v>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tabSelected="1" zoomScale="110" zoomScaleNormal="110" workbookViewId="0">
      <selection activeCell="A2" sqref="A2"/>
    </sheetView>
  </sheetViews>
  <sheetFormatPr baseColWidth="10" defaultColWidth="11.5703125" defaultRowHeight="15" x14ac:dyDescent="0.25"/>
  <cols>
    <col min="1" max="1" width="35.7109375" style="23" customWidth="1"/>
    <col min="2" max="2" width="6.7109375" style="23" customWidth="1"/>
    <col min="3" max="3" width="10.28515625" style="23" customWidth="1"/>
    <col min="4" max="4" width="11.28515625" style="23" customWidth="1"/>
    <col min="5" max="5" width="10" style="23" customWidth="1"/>
    <col min="6" max="9" width="8.85546875" style="23" customWidth="1"/>
    <col min="10" max="10" width="10.42578125" style="23" customWidth="1"/>
    <col min="11" max="11" width="51.5703125" style="25" customWidth="1"/>
    <col min="12" max="12" width="23.7109375" style="150" customWidth="1"/>
    <col min="13" max="15" width="8" style="23" customWidth="1"/>
    <col min="16" max="16384" width="11.5703125" style="23"/>
  </cols>
  <sheetData>
    <row r="1" spans="1:17" ht="26.25" x14ac:dyDescent="0.4">
      <c r="A1" s="29" t="s">
        <v>57</v>
      </c>
      <c r="H1" s="161"/>
      <c r="I1" s="161"/>
      <c r="K1" s="158" t="s">
        <v>177</v>
      </c>
      <c r="L1" s="124"/>
      <c r="M1" s="124"/>
      <c r="N1" s="124"/>
    </row>
    <row r="2" spans="1:17" x14ac:dyDescent="0.25">
      <c r="H2" s="162"/>
      <c r="I2" s="161"/>
      <c r="K2" s="25" t="s">
        <v>90</v>
      </c>
      <c r="L2" s="124"/>
      <c r="M2" s="124"/>
      <c r="N2" s="124"/>
    </row>
    <row r="3" spans="1:17" x14ac:dyDescent="0.25">
      <c r="A3" s="31" t="s">
        <v>9</v>
      </c>
      <c r="B3" s="23">
        <v>100</v>
      </c>
      <c r="D3" s="32">
        <v>1687.5</v>
      </c>
      <c r="E3" s="32"/>
      <c r="F3" s="23" t="s">
        <v>10</v>
      </c>
      <c r="H3" s="162"/>
      <c r="I3" s="163"/>
      <c r="K3" s="31" t="s">
        <v>91</v>
      </c>
      <c r="L3" s="159" t="s">
        <v>92</v>
      </c>
      <c r="M3" s="124"/>
      <c r="N3" s="124"/>
    </row>
    <row r="4" spans="1:17" x14ac:dyDescent="0.25">
      <c r="A4" s="31"/>
      <c r="D4" s="32"/>
      <c r="E4" s="32"/>
      <c r="H4" s="162"/>
      <c r="I4" s="163"/>
      <c r="L4" s="159" t="s">
        <v>93</v>
      </c>
      <c r="M4" s="124"/>
      <c r="N4" s="124"/>
    </row>
    <row r="5" spans="1:17" x14ac:dyDescent="0.25">
      <c r="A5" s="124" t="s">
        <v>187</v>
      </c>
      <c r="D5" s="32"/>
      <c r="E5" s="32"/>
      <c r="H5" s="162"/>
      <c r="I5" s="163"/>
      <c r="L5" s="159" t="s">
        <v>94</v>
      </c>
      <c r="M5" s="124"/>
      <c r="N5" s="124"/>
    </row>
    <row r="6" spans="1:17" x14ac:dyDescent="0.25">
      <c r="A6" s="124" t="s">
        <v>196</v>
      </c>
      <c r="D6" s="32"/>
      <c r="E6" s="32"/>
      <c r="H6" s="162"/>
      <c r="I6" s="163"/>
      <c r="L6" s="160" t="s">
        <v>95</v>
      </c>
      <c r="M6" s="124"/>
      <c r="N6" s="124"/>
    </row>
    <row r="7" spans="1:17" x14ac:dyDescent="0.25">
      <c r="A7" s="31"/>
      <c r="D7" s="32"/>
      <c r="E7" s="32"/>
      <c r="K7" s="54" t="s">
        <v>178</v>
      </c>
      <c r="L7" s="23"/>
      <c r="M7" s="124"/>
      <c r="N7" s="124"/>
    </row>
    <row r="8" spans="1:17" ht="37.15" customHeight="1" x14ac:dyDescent="0.25">
      <c r="A8" s="272" t="s">
        <v>184</v>
      </c>
      <c r="B8" s="204"/>
      <c r="C8" s="115" t="s">
        <v>34</v>
      </c>
      <c r="D8" s="205" t="s">
        <v>21</v>
      </c>
      <c r="E8" s="115" t="s">
        <v>181</v>
      </c>
      <c r="F8" s="206" t="s">
        <v>44</v>
      </c>
      <c r="G8" s="205" t="s">
        <v>1</v>
      </c>
      <c r="H8" s="205" t="s">
        <v>23</v>
      </c>
      <c r="I8" s="205" t="s">
        <v>25</v>
      </c>
      <c r="J8" s="115" t="s">
        <v>182</v>
      </c>
      <c r="K8" s="341" t="s">
        <v>183</v>
      </c>
      <c r="L8" s="23"/>
      <c r="M8" s="124"/>
      <c r="N8" s="124"/>
    </row>
    <row r="9" spans="1:17" x14ac:dyDescent="0.25">
      <c r="A9" s="273"/>
      <c r="B9" s="205" t="s">
        <v>7</v>
      </c>
      <c r="C9" s="115"/>
      <c r="D9" s="205"/>
      <c r="E9" s="205" t="s">
        <v>193</v>
      </c>
      <c r="F9" s="205" t="s">
        <v>22</v>
      </c>
      <c r="G9" s="205" t="s">
        <v>41</v>
      </c>
      <c r="H9" s="205" t="s">
        <v>24</v>
      </c>
      <c r="I9" s="205" t="s">
        <v>26</v>
      </c>
      <c r="J9" s="271"/>
      <c r="K9" s="342" t="s">
        <v>194</v>
      </c>
      <c r="L9" s="151"/>
      <c r="M9" s="50"/>
    </row>
    <row r="10" spans="1:17" ht="18" thickBot="1" x14ac:dyDescent="0.35">
      <c r="A10" s="46" t="s">
        <v>19</v>
      </c>
      <c r="B10" s="274"/>
      <c r="C10" s="275"/>
      <c r="D10" s="274"/>
      <c r="E10" s="274"/>
      <c r="F10" s="274"/>
      <c r="G10" s="274"/>
      <c r="H10" s="274"/>
      <c r="I10" s="274"/>
      <c r="J10" s="276"/>
      <c r="K10" s="23"/>
      <c r="L10" s="151"/>
      <c r="M10" s="50"/>
    </row>
    <row r="11" spans="1:17" ht="15.75" thickTop="1" x14ac:dyDescent="0.25">
      <c r="A11" s="53" t="s">
        <v>58</v>
      </c>
      <c r="B11" s="264">
        <v>7.5</v>
      </c>
      <c r="C11" s="52">
        <f>(Satser!$B$7+(B11*Satser!$B$8))</f>
        <v>42</v>
      </c>
      <c r="D11" s="262">
        <v>69</v>
      </c>
      <c r="E11" s="262">
        <v>10</v>
      </c>
      <c r="F11" s="52">
        <f>C11*Satser!$B$9</f>
        <v>147</v>
      </c>
      <c r="G11" s="52">
        <f>Satser!$B$12*B11+ IF(D11&gt;20 &amp; D11&lt;51, 1,0) + IF(D11&gt;20, IF(D11&gt;50,Satser!$B$13*B11*30,Satser!$B$13*B11*(D11-20)), 0)+ IF(D11&gt;50, IF(D11&gt;100,Satser!$B$14*B11*50,Satser!$B$14*B11*(D11-50)), 0) + IF(D11&gt;100, Satser!$B$15*B11*(D11-100), 0)</f>
        <v>119.25</v>
      </c>
      <c r="H11" s="53"/>
      <c r="I11" s="52">
        <f>Satser!$B$22*E11</f>
        <v>10</v>
      </c>
      <c r="J11" s="53">
        <f>SUM(F11:I11)</f>
        <v>276.25</v>
      </c>
      <c r="K11" s="50"/>
      <c r="L11" s="151"/>
      <c r="M11" s="50"/>
    </row>
    <row r="12" spans="1:17" x14ac:dyDescent="0.25">
      <c r="A12" s="53" t="s">
        <v>195</v>
      </c>
      <c r="B12" s="264">
        <v>7.5</v>
      </c>
      <c r="C12" s="52">
        <f>(Satser!$B$7+(B12*Satser!$B$8))</f>
        <v>42</v>
      </c>
      <c r="D12" s="262">
        <v>40</v>
      </c>
      <c r="E12" s="262">
        <v>5</v>
      </c>
      <c r="F12" s="52">
        <f>C12*Satser!$B$9</f>
        <v>147</v>
      </c>
      <c r="G12" s="52">
        <f>Satser!$B$12*B12+ IF(D12&gt;20 &amp; D12&lt;51, 1,0) + IF(D12&gt;20, IF(D12&gt;50,Satser!$B$13*B12*30,Satser!$B$13*B12*(D12-20)), 0)+ IF(D12&gt;50, IF(D12&gt;100,Satser!$B$14*B12*50,Satser!$B$14*B12*(D12-50)), 0) + IF(D12&gt;100, Satser!$B$15*B12*(D12-100), 0)</f>
        <v>90</v>
      </c>
      <c r="H12" s="53"/>
      <c r="I12" s="52">
        <f>Satser!$B$22*E12</f>
        <v>5</v>
      </c>
      <c r="J12" s="53">
        <f>SUM(F12:I12)*0.5</f>
        <v>121</v>
      </c>
      <c r="K12" s="280" t="s">
        <v>188</v>
      </c>
      <c r="L12" s="151"/>
      <c r="M12" s="50"/>
    </row>
    <row r="13" spans="1:17" x14ac:dyDescent="0.25">
      <c r="A13" s="22" t="s">
        <v>56</v>
      </c>
      <c r="B13" s="264">
        <v>7.5</v>
      </c>
      <c r="C13" s="52">
        <f>(Satser!$B$7+(B13*Satser!$B$8))</f>
        <v>42</v>
      </c>
      <c r="D13" s="262">
        <v>18</v>
      </c>
      <c r="E13" s="262"/>
      <c r="F13" s="21">
        <f>C13*Satser!$B$9</f>
        <v>147</v>
      </c>
      <c r="G13" s="21">
        <f>Satser!$B$12*B13+ IF(D13&gt;20 &amp; D13&lt;51, 1,0) + IF(D13&gt;20, IF(D13&gt;50,Satser!$B$13*B13*30,Satser!$B$13*B13*(D13-20)), 0)+ IF(D13&gt;50, IF(D13&gt;100,Satser!$B$14*B13*50,Satser!$B$14*B13*(D13-50)), 0) + IF(D13&gt;100, Satser!$B$15*B13*(D13-100), 0)</f>
        <v>60</v>
      </c>
      <c r="H13" s="52">
        <f>C13*Satser!$B$46</f>
        <v>84</v>
      </c>
      <c r="I13" s="21">
        <f>Satser!$B$22*E13</f>
        <v>0</v>
      </c>
      <c r="J13" s="53">
        <f>SUM(F13:I13)</f>
        <v>291</v>
      </c>
      <c r="K13" s="54" t="s">
        <v>96</v>
      </c>
      <c r="L13" s="151"/>
      <c r="M13" s="50"/>
    </row>
    <row r="14" spans="1:17" x14ac:dyDescent="0.25">
      <c r="A14" s="22" t="s">
        <v>185</v>
      </c>
      <c r="B14" s="264">
        <v>15</v>
      </c>
      <c r="C14" s="52">
        <f>(Satser!$B$7+(B14*Satser!$B$8))</f>
        <v>72</v>
      </c>
      <c r="D14" s="262">
        <v>85</v>
      </c>
      <c r="E14" s="262"/>
      <c r="F14" s="21">
        <f>C14*Satser!$B$9</f>
        <v>252</v>
      </c>
      <c r="G14" s="21">
        <f>Satser!$B$12*B14+ IF(D14&gt;20 &amp; D14&lt;51, 1,0) + IF(D14&gt;20, IF(D14&gt;50,Satser!$B$13*B14*30,Satser!$B$13*B14*(D14-20)), 0)+ IF(D14&gt;50, IF(D14&gt;100,Satser!$B$14*B14*50,Satser!$B$14*B14*(D14-50)), 0) + IF(D14&gt;100, Satser!$B$15*B14*(D14-100), 0)</f>
        <v>262.5</v>
      </c>
      <c r="H14" s="52">
        <f>Satser!$B$32+IF(B14&gt;7,+(Satser!$B$33*D14))+IF(B14&gt;14,Satser!$B$34*D14)+IF(B14&gt;29,Satser!$B$35*D14)</f>
        <v>178</v>
      </c>
      <c r="I14" s="21">
        <f>Satser!$B$22*E14</f>
        <v>0</v>
      </c>
      <c r="J14" s="53">
        <f>SUM(F14:I14)</f>
        <v>692.5</v>
      </c>
      <c r="K14" s="154" t="s">
        <v>113</v>
      </c>
      <c r="Q14" s="152"/>
    </row>
    <row r="15" spans="1:17" x14ac:dyDescent="0.25">
      <c r="A15" s="53" t="s">
        <v>186</v>
      </c>
      <c r="B15" s="264">
        <v>15</v>
      </c>
      <c r="C15" s="52">
        <f>(Satser!$B$7+(B15*Satser!$B$8))</f>
        <v>72</v>
      </c>
      <c r="D15" s="262">
        <v>85</v>
      </c>
      <c r="E15" s="262">
        <v>4</v>
      </c>
      <c r="F15" s="48"/>
      <c r="G15" s="48"/>
      <c r="H15" s="16">
        <f>D15*E15*Satser!$B$41</f>
        <v>510</v>
      </c>
      <c r="I15" s="79"/>
      <c r="J15" s="53">
        <f>SUM(F15:I15)</f>
        <v>510</v>
      </c>
      <c r="K15" s="54" t="s">
        <v>179</v>
      </c>
      <c r="Q15" s="156"/>
    </row>
    <row r="16" spans="1:17" x14ac:dyDescent="0.25">
      <c r="A16" s="22"/>
      <c r="B16" s="22"/>
      <c r="C16" s="22"/>
      <c r="D16" s="22"/>
      <c r="E16" s="22"/>
      <c r="F16" s="22"/>
      <c r="G16" s="22"/>
      <c r="H16" s="52"/>
      <c r="I16" s="22"/>
      <c r="J16" s="17"/>
    </row>
    <row r="17" spans="1:12" x14ac:dyDescent="0.25">
      <c r="A17" s="347" t="s">
        <v>236</v>
      </c>
      <c r="B17" s="348">
        <v>15</v>
      </c>
      <c r="C17" s="349">
        <f>(Satser!$B$7+(B17*Satser!$B$8))</f>
        <v>72</v>
      </c>
      <c r="D17" s="350">
        <v>20</v>
      </c>
      <c r="E17" s="349"/>
      <c r="F17" s="349"/>
      <c r="G17" s="349"/>
      <c r="H17" s="349">
        <f>Satser!$B$32+IF(B17&gt;7,+(Satser!$B$33*D17))+IF(B17&gt;14,Satser!$B$34*D17)+IF(B17&gt;29,Satser!$B$35*D17)</f>
        <v>48</v>
      </c>
      <c r="I17" s="113"/>
      <c r="J17" s="107"/>
      <c r="K17" s="252" t="s">
        <v>165</v>
      </c>
    </row>
    <row r="18" spans="1:12" x14ac:dyDescent="0.25">
      <c r="A18" s="347" t="s">
        <v>228</v>
      </c>
      <c r="B18" s="351">
        <v>12</v>
      </c>
      <c r="C18" s="349">
        <f>(Satser!$B$7+(B18*Satser!$B$8))</f>
        <v>60</v>
      </c>
      <c r="D18" s="350">
        <v>20</v>
      </c>
      <c r="E18" s="350">
        <v>8</v>
      </c>
      <c r="F18" s="347"/>
      <c r="G18" s="347"/>
      <c r="H18" s="349">
        <f>D18*E18*Satser!$B$41</f>
        <v>240</v>
      </c>
      <c r="I18" s="22"/>
      <c r="J18" s="17"/>
      <c r="K18" s="25" t="s">
        <v>238</v>
      </c>
    </row>
    <row r="19" spans="1:12" x14ac:dyDescent="0.25">
      <c r="A19" s="347" t="s">
        <v>229</v>
      </c>
      <c r="B19" s="351">
        <v>12</v>
      </c>
      <c r="C19" s="349">
        <f>(Satser!$B$7+(B19*Satser!$B$8))</f>
        <v>60</v>
      </c>
      <c r="D19" s="350">
        <v>20</v>
      </c>
      <c r="E19" s="352" t="s">
        <v>235</v>
      </c>
      <c r="F19" s="347"/>
      <c r="G19" s="347"/>
      <c r="H19" s="349">
        <f>D19*Satser!$B$43</f>
        <v>150</v>
      </c>
      <c r="I19" s="22"/>
      <c r="J19" s="17"/>
      <c r="K19" s="255" t="s">
        <v>214</v>
      </c>
    </row>
    <row r="20" spans="1:12" x14ac:dyDescent="0.25">
      <c r="A20" s="353" t="s">
        <v>234</v>
      </c>
      <c r="B20" s="351">
        <v>12</v>
      </c>
      <c r="C20" s="349">
        <f>(Satser!$B$7+(B20*Satser!$B$8))</f>
        <v>60</v>
      </c>
      <c r="D20" s="347"/>
      <c r="E20" s="347"/>
      <c r="F20" s="349"/>
      <c r="G20" s="347"/>
      <c r="H20" s="349">
        <f>C20*Satser!$B$51</f>
        <v>120</v>
      </c>
      <c r="I20" s="22"/>
      <c r="J20" s="17"/>
      <c r="K20" s="158" t="s">
        <v>239</v>
      </c>
    </row>
    <row r="21" spans="1:12" x14ac:dyDescent="0.25">
      <c r="A21" s="353" t="s">
        <v>237</v>
      </c>
      <c r="B21" s="348">
        <v>10</v>
      </c>
      <c r="C21" s="349">
        <f>(Satser!$B$7+(B21*Satser!$B$8))</f>
        <v>52</v>
      </c>
      <c r="D21" s="349"/>
      <c r="E21" s="349"/>
      <c r="F21" s="349"/>
      <c r="G21" s="349"/>
      <c r="H21" s="349">
        <f>C21*Satser!$B$51</f>
        <v>104</v>
      </c>
      <c r="I21" s="22"/>
      <c r="J21" s="17"/>
      <c r="K21" s="158" t="s">
        <v>240</v>
      </c>
    </row>
    <row r="22" spans="1:12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17"/>
    </row>
    <row r="23" spans="1:12" ht="26.25" x14ac:dyDescent="0.25">
      <c r="A23" s="172" t="s">
        <v>109</v>
      </c>
      <c r="B23" s="24" t="s">
        <v>7</v>
      </c>
      <c r="C23" s="189" t="s">
        <v>115</v>
      </c>
      <c r="D23" s="189" t="s">
        <v>120</v>
      </c>
      <c r="E23" s="189"/>
    </row>
    <row r="24" spans="1:12" s="25" customFormat="1" x14ac:dyDescent="0.25">
      <c r="A24" t="s">
        <v>5</v>
      </c>
      <c r="B24" s="265">
        <v>15</v>
      </c>
      <c r="C24" s="265">
        <f>Satser!B17</f>
        <v>5</v>
      </c>
      <c r="D24" s="266">
        <v>4</v>
      </c>
      <c r="E24" s="247"/>
      <c r="F24" s="23"/>
      <c r="J24" s="22">
        <f>B24+(C24*D24)</f>
        <v>35</v>
      </c>
      <c r="K24" t="s">
        <v>116</v>
      </c>
      <c r="L24" s="150"/>
    </row>
    <row r="25" spans="1:12" x14ac:dyDescent="0.25">
      <c r="A25" s="190" t="s">
        <v>6</v>
      </c>
      <c r="B25" s="267">
        <v>30</v>
      </c>
      <c r="C25" s="267">
        <f>Satser!B18</f>
        <v>15</v>
      </c>
      <c r="D25" s="268">
        <v>4</v>
      </c>
      <c r="E25" s="201"/>
      <c r="F25" s="191"/>
      <c r="G25" s="191"/>
      <c r="H25" s="191"/>
      <c r="I25" s="191"/>
      <c r="J25" s="22">
        <f t="shared" ref="J25" si="0">B25+(C25*D25)</f>
        <v>90</v>
      </c>
      <c r="K25" t="s">
        <v>117</v>
      </c>
    </row>
    <row r="26" spans="1:12" x14ac:dyDescent="0.25">
      <c r="J26" s="22"/>
      <c r="K26" s="30"/>
    </row>
    <row r="27" spans="1:12" ht="18" thickBot="1" x14ac:dyDescent="0.35">
      <c r="A27" s="47" t="s">
        <v>27</v>
      </c>
      <c r="B27" s="34"/>
      <c r="C27" s="34"/>
      <c r="D27" s="34"/>
      <c r="E27" s="277"/>
      <c r="F27" s="277"/>
      <c r="J27" s="22"/>
    </row>
    <row r="28" spans="1:12" ht="15.75" thickTop="1" x14ac:dyDescent="0.25">
      <c r="A28" s="35" t="s">
        <v>32</v>
      </c>
      <c r="C28" s="26"/>
      <c r="D28" s="269">
        <v>0.3</v>
      </c>
      <c r="E28" s="278"/>
      <c r="F28" s="191"/>
      <c r="J28" s="22">
        <f>D3*D28</f>
        <v>506.25</v>
      </c>
    </row>
    <row r="29" spans="1:12" x14ac:dyDescent="0.25">
      <c r="J29" s="22"/>
    </row>
    <row r="30" spans="1:12" ht="18" thickBot="1" x14ac:dyDescent="0.35">
      <c r="A30" s="47" t="s">
        <v>48</v>
      </c>
      <c r="B30" s="34"/>
      <c r="C30" s="277"/>
      <c r="J30" s="22"/>
    </row>
    <row r="31" spans="1:12" ht="15.75" thickTop="1" x14ac:dyDescent="0.25">
      <c r="A31" s="35" t="s">
        <v>33</v>
      </c>
      <c r="C31" s="279"/>
      <c r="D31" s="281">
        <v>0.05</v>
      </c>
      <c r="E31" s="27"/>
      <c r="J31" s="53">
        <f>D31*D3</f>
        <v>84.375</v>
      </c>
    </row>
    <row r="32" spans="1:12" x14ac:dyDescent="0.25">
      <c r="A32" s="35"/>
      <c r="B32" s="27"/>
      <c r="C32" s="27"/>
      <c r="D32" s="30"/>
      <c r="E32" s="30"/>
      <c r="J32" s="81"/>
    </row>
    <row r="33" spans="1:17" x14ac:dyDescent="0.25">
      <c r="A33" s="31"/>
      <c r="B33" s="27"/>
      <c r="C33" s="27"/>
      <c r="J33" s="22"/>
    </row>
    <row r="34" spans="1:17" ht="18" thickBot="1" x14ac:dyDescent="0.35">
      <c r="A34" s="47" t="s">
        <v>20</v>
      </c>
      <c r="J34" s="22"/>
    </row>
    <row r="35" spans="1:17" ht="15.75" thickTop="1" x14ac:dyDescent="0.25">
      <c r="A35" s="35" t="s">
        <v>121</v>
      </c>
      <c r="C35" s="27"/>
      <c r="D35" s="281">
        <v>0.05</v>
      </c>
      <c r="E35" s="27"/>
      <c r="J35" s="22">
        <f>D3*D35</f>
        <v>84.375</v>
      </c>
    </row>
    <row r="36" spans="1:17" x14ac:dyDescent="0.25">
      <c r="A36" s="35"/>
      <c r="C36" s="27"/>
      <c r="D36" s="27"/>
      <c r="E36" s="27"/>
      <c r="J36" s="22"/>
    </row>
    <row r="37" spans="1:17" x14ac:dyDescent="0.25">
      <c r="A37" s="173" t="s">
        <v>110</v>
      </c>
      <c r="B37" s="54"/>
      <c r="C37" s="54"/>
      <c r="D37" s="54"/>
      <c r="E37" s="54"/>
      <c r="F37" s="54"/>
      <c r="G37" s="54"/>
      <c r="H37" s="54"/>
      <c r="I37" s="54"/>
      <c r="J37" s="53"/>
      <c r="K37" s="49"/>
    </row>
    <row r="38" spans="1:17" x14ac:dyDescent="0.25">
      <c r="A38" s="173" t="s">
        <v>189</v>
      </c>
      <c r="B38" s="282">
        <v>15</v>
      </c>
      <c r="C38" s="298" t="s">
        <v>191</v>
      </c>
      <c r="D38" s="282">
        <v>80</v>
      </c>
      <c r="E38" s="298" t="s">
        <v>192</v>
      </c>
      <c r="F38" s="52"/>
      <c r="G38" s="54"/>
      <c r="H38" s="284"/>
      <c r="I38" s="54"/>
      <c r="J38" s="297">
        <f>Satser!$B$63+B38+(D38*Satser!$B$64)</f>
        <v>75</v>
      </c>
      <c r="K38" s="181" t="s">
        <v>190</v>
      </c>
      <c r="L38" s="160"/>
    </row>
    <row r="39" spans="1:17" x14ac:dyDescent="0.25">
      <c r="A39" s="285" t="s">
        <v>111</v>
      </c>
      <c r="B39" s="283"/>
      <c r="C39" s="247"/>
      <c r="D39" s="286"/>
      <c r="E39" s="286"/>
      <c r="F39" s="54"/>
      <c r="G39" s="54"/>
      <c r="H39" s="54"/>
      <c r="I39" s="54"/>
      <c r="J39" s="52"/>
      <c r="L39" s="23"/>
    </row>
    <row r="40" spans="1:17" x14ac:dyDescent="0.25">
      <c r="A40" s="54" t="s">
        <v>112</v>
      </c>
      <c r="B40" s="286"/>
      <c r="C40" s="286"/>
      <c r="D40" s="286"/>
      <c r="E40" s="286"/>
      <c r="F40" s="287"/>
      <c r="G40" s="287"/>
      <c r="H40" s="54"/>
      <c r="I40" s="54"/>
      <c r="J40" s="53"/>
      <c r="K40" s="23"/>
      <c r="L40" s="23"/>
    </row>
    <row r="41" spans="1:17" x14ac:dyDescent="0.25">
      <c r="A41" s="54" t="s">
        <v>122</v>
      </c>
      <c r="B41" s="286"/>
      <c r="C41" s="286"/>
      <c r="D41" s="286"/>
      <c r="E41" s="286"/>
      <c r="F41" s="54"/>
      <c r="G41" s="54"/>
      <c r="H41" s="54"/>
      <c r="I41" s="54"/>
      <c r="J41" s="53"/>
      <c r="L41" s="23"/>
    </row>
    <row r="42" spans="1:17" x14ac:dyDescent="0.25">
      <c r="A42" s="54" t="s">
        <v>123</v>
      </c>
      <c r="B42" s="54"/>
      <c r="C42" s="54"/>
      <c r="D42" s="54"/>
      <c r="E42" s="54"/>
      <c r="F42" s="54"/>
      <c r="G42" s="54"/>
      <c r="H42" s="54"/>
      <c r="I42" s="54"/>
      <c r="J42" s="54"/>
    </row>
    <row r="43" spans="1:17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L43" s="49"/>
      <c r="M43" s="49"/>
      <c r="N43" s="49"/>
      <c r="O43" s="49"/>
      <c r="P43" s="49"/>
    </row>
    <row r="44" spans="1:17" s="40" customFormat="1" ht="17.25" customHeight="1" x14ac:dyDescent="0.25">
      <c r="A44" s="288" t="s">
        <v>42</v>
      </c>
      <c r="B44" s="289"/>
      <c r="C44" s="289"/>
      <c r="D44" s="289"/>
      <c r="E44" s="289"/>
      <c r="F44" s="289"/>
      <c r="G44" s="289"/>
      <c r="H44" s="289"/>
      <c r="I44" s="289"/>
      <c r="J44" s="290">
        <f>SUM(J10:J43)</f>
        <v>2765.75</v>
      </c>
      <c r="L44" s="49"/>
      <c r="M44" s="49"/>
      <c r="N44" s="49"/>
      <c r="O44" s="49"/>
      <c r="P44" s="199"/>
      <c r="Q44" s="199"/>
    </row>
    <row r="45" spans="1:17" s="40" customFormat="1" ht="15.75" x14ac:dyDescent="0.25">
      <c r="A45" s="291"/>
      <c r="B45" s="291"/>
      <c r="C45" s="291"/>
      <c r="D45" s="291"/>
      <c r="E45" s="291"/>
      <c r="F45" s="291"/>
      <c r="G45" s="291"/>
      <c r="H45" s="291"/>
      <c r="I45" s="291"/>
      <c r="J45" s="292"/>
      <c r="L45" s="49"/>
      <c r="M45" s="49"/>
      <c r="N45" s="49"/>
      <c r="O45" s="49"/>
      <c r="P45" s="49"/>
      <c r="Q45" s="49"/>
    </row>
    <row r="46" spans="1:17" s="40" customFormat="1" ht="18" customHeight="1" x14ac:dyDescent="0.25">
      <c r="A46" s="288" t="s">
        <v>31</v>
      </c>
      <c r="B46" s="289"/>
      <c r="C46" s="289"/>
      <c r="D46" s="289"/>
      <c r="E46" s="289"/>
      <c r="F46" s="289"/>
      <c r="G46" s="289"/>
      <c r="H46" s="289"/>
      <c r="I46" s="289"/>
      <c r="J46" s="290">
        <f>D3</f>
        <v>1687.5</v>
      </c>
      <c r="L46" s="49"/>
      <c r="M46" s="49"/>
      <c r="N46" s="49"/>
      <c r="O46" s="49"/>
      <c r="P46" s="49"/>
      <c r="Q46" s="49"/>
    </row>
    <row r="47" spans="1:17" s="40" customFormat="1" ht="15.75" x14ac:dyDescent="0.25">
      <c r="A47" s="291"/>
      <c r="B47" s="291"/>
      <c r="C47" s="291"/>
      <c r="D47" s="291"/>
      <c r="E47" s="291"/>
      <c r="F47" s="291"/>
      <c r="G47" s="291"/>
      <c r="H47" s="291"/>
      <c r="I47" s="291"/>
      <c r="J47" s="292"/>
      <c r="L47" s="49"/>
      <c r="M47" s="49"/>
      <c r="N47" s="49"/>
      <c r="O47" s="49"/>
      <c r="P47" s="49"/>
      <c r="Q47" s="49"/>
    </row>
    <row r="48" spans="1:17" s="40" customFormat="1" ht="18.75" customHeight="1" x14ac:dyDescent="0.25">
      <c r="A48" s="293" t="s">
        <v>43</v>
      </c>
      <c r="B48" s="294"/>
      <c r="C48" s="294"/>
      <c r="D48" s="294"/>
      <c r="E48" s="294"/>
      <c r="F48" s="294"/>
      <c r="G48" s="294"/>
      <c r="H48" s="294"/>
      <c r="I48" s="294"/>
      <c r="J48" s="295">
        <f>J46-J44</f>
        <v>-1078.25</v>
      </c>
      <c r="L48" s="49"/>
      <c r="M48" s="49"/>
      <c r="N48" s="49"/>
      <c r="O48" s="49"/>
      <c r="P48" s="49"/>
      <c r="Q48" s="49"/>
    </row>
    <row r="49" spans="1:17" x14ac:dyDescent="0.25">
      <c r="A49" s="54"/>
      <c r="B49" s="54"/>
      <c r="C49" s="54"/>
      <c r="D49" s="54"/>
      <c r="E49" s="54"/>
      <c r="F49" s="54"/>
      <c r="G49" s="54"/>
      <c r="H49" s="54"/>
      <c r="I49" s="54"/>
      <c r="J49" s="53"/>
      <c r="L49" s="49"/>
      <c r="M49" s="49"/>
      <c r="N49" s="49"/>
      <c r="O49" s="49"/>
      <c r="P49" s="199"/>
      <c r="Q49" s="199"/>
    </row>
    <row r="50" spans="1:17" x14ac:dyDescent="0.25">
      <c r="A50" s="54"/>
      <c r="B50" s="54"/>
      <c r="C50" s="54"/>
      <c r="D50" s="54"/>
      <c r="E50" s="54"/>
      <c r="F50" s="54"/>
      <c r="G50" s="54"/>
      <c r="H50" s="54"/>
      <c r="I50" s="54"/>
      <c r="J50" s="54"/>
      <c r="P50" s="31"/>
      <c r="Q50" s="296"/>
    </row>
    <row r="51" spans="1:17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</sheetData>
  <phoneticPr fontId="5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9"/>
  <sheetViews>
    <sheetView zoomScaleNormal="100" workbookViewId="0">
      <selection activeCell="G16" sqref="G16"/>
    </sheetView>
  </sheetViews>
  <sheetFormatPr baseColWidth="10" defaultColWidth="11.5703125" defaultRowHeight="15" x14ac:dyDescent="0.25"/>
  <cols>
    <col min="1" max="1" width="34.85546875" style="23" customWidth="1"/>
    <col min="2" max="2" width="7.85546875" style="23" customWidth="1"/>
    <col min="3" max="3" width="11.140625" style="23" customWidth="1"/>
    <col min="4" max="4" width="11.28515625" style="23" customWidth="1"/>
    <col min="5" max="5" width="9.85546875" style="23" customWidth="1"/>
    <col min="6" max="9" width="11.28515625" style="23" customWidth="1"/>
    <col min="10" max="10" width="9.42578125" style="23" customWidth="1"/>
    <col min="11" max="11" width="7" style="23" customWidth="1"/>
    <col min="12" max="12" width="9.28515625" style="23" customWidth="1"/>
    <col min="13" max="14" width="6.5703125" style="23" customWidth="1"/>
    <col min="15" max="17" width="6.5703125" style="49" customWidth="1"/>
    <col min="18" max="18" width="6.7109375" style="49" customWidth="1"/>
    <col min="19" max="19" width="6.42578125" style="49" customWidth="1"/>
    <col min="20" max="20" width="6.7109375" style="23" customWidth="1"/>
    <col min="21" max="16384" width="11.5703125" style="23"/>
  </cols>
  <sheetData>
    <row r="1" spans="1:20" ht="26.25" x14ac:dyDescent="0.4">
      <c r="A1" s="29" t="s">
        <v>204</v>
      </c>
      <c r="I1" s="51"/>
      <c r="O1" s="23"/>
    </row>
    <row r="2" spans="1:20" x14ac:dyDescent="0.25">
      <c r="A2" s="23" t="s">
        <v>59</v>
      </c>
      <c r="I2" s="51"/>
    </row>
    <row r="3" spans="1:20" x14ac:dyDescent="0.25">
      <c r="I3" s="127"/>
    </row>
    <row r="4" spans="1:20" x14ac:dyDescent="0.25">
      <c r="A4" s="31" t="s">
        <v>9</v>
      </c>
      <c r="B4" s="23">
        <v>100</v>
      </c>
      <c r="D4" s="32">
        <v>1687.5</v>
      </c>
      <c r="E4" s="32"/>
      <c r="F4" s="23" t="s">
        <v>10</v>
      </c>
      <c r="I4" s="127"/>
    </row>
    <row r="5" spans="1:20" x14ac:dyDescent="0.25">
      <c r="A5" s="31"/>
      <c r="D5" s="32"/>
      <c r="E5" s="32"/>
      <c r="I5" s="127"/>
      <c r="J5" s="124"/>
    </row>
    <row r="6" spans="1:20" ht="45.6" customHeight="1" thickBot="1" x14ac:dyDescent="0.35">
      <c r="A6" s="329" t="s">
        <v>19</v>
      </c>
      <c r="B6" s="204"/>
      <c r="C6" s="115" t="s">
        <v>34</v>
      </c>
      <c r="D6" s="205" t="s">
        <v>21</v>
      </c>
      <c r="E6" s="115" t="s">
        <v>181</v>
      </c>
      <c r="F6" s="206" t="s">
        <v>44</v>
      </c>
      <c r="G6" s="205" t="s">
        <v>1</v>
      </c>
      <c r="H6" s="205" t="s">
        <v>23</v>
      </c>
      <c r="I6" s="205" t="s">
        <v>25</v>
      </c>
      <c r="J6" s="115" t="s">
        <v>45</v>
      </c>
      <c r="K6" s="115"/>
      <c r="L6" s="64" t="s">
        <v>50</v>
      </c>
      <c r="M6" s="65" t="s">
        <v>51</v>
      </c>
      <c r="N6" s="65" t="s">
        <v>52</v>
      </c>
      <c r="O6" s="72" t="s">
        <v>25</v>
      </c>
      <c r="P6" s="72" t="s">
        <v>46</v>
      </c>
      <c r="Q6" s="72" t="s">
        <v>47</v>
      </c>
      <c r="R6" s="125" t="s">
        <v>69</v>
      </c>
      <c r="S6" s="125" t="s">
        <v>69</v>
      </c>
      <c r="T6" s="125" t="s">
        <v>72</v>
      </c>
    </row>
    <row r="7" spans="1:20" ht="16.5" thickTop="1" thickBot="1" x14ac:dyDescent="0.3">
      <c r="A7" s="330"/>
      <c r="B7" s="207" t="s">
        <v>7</v>
      </c>
      <c r="C7" s="208"/>
      <c r="D7" s="207"/>
      <c r="E7" s="207"/>
      <c r="F7" s="207" t="s">
        <v>22</v>
      </c>
      <c r="G7" s="207" t="s">
        <v>41</v>
      </c>
      <c r="H7" s="207" t="s">
        <v>24</v>
      </c>
      <c r="I7" s="207" t="s">
        <v>26</v>
      </c>
      <c r="J7" s="209"/>
      <c r="K7" s="119" t="s">
        <v>68</v>
      </c>
      <c r="L7" s="65" t="s">
        <v>53</v>
      </c>
      <c r="M7" s="73"/>
      <c r="N7" s="73"/>
      <c r="O7" s="74"/>
      <c r="P7" s="74"/>
      <c r="Q7" s="74"/>
      <c r="R7" s="131" t="s">
        <v>70</v>
      </c>
      <c r="S7" s="131" t="s">
        <v>71</v>
      </c>
      <c r="T7" s="132" t="s">
        <v>74</v>
      </c>
    </row>
    <row r="8" spans="1:20" s="79" customFormat="1" x14ac:dyDescent="0.25">
      <c r="A8" s="96" t="s">
        <v>60</v>
      </c>
      <c r="B8" s="300">
        <v>7.5</v>
      </c>
      <c r="C8" s="97">
        <f>(Satser!$B$7+(B8*Satser!$B$8))</f>
        <v>42</v>
      </c>
      <c r="D8" s="301">
        <v>20</v>
      </c>
      <c r="E8" s="203">
        <v>4</v>
      </c>
      <c r="F8" s="97">
        <f>C8*Satser!$B$9</f>
        <v>147</v>
      </c>
      <c r="G8" s="97">
        <f>Satser!$B$12*'Eks HIU'!B8+ IF(D8&gt;20 &amp; D8&lt;51, 1,0) + IF(D8&gt;20, IF(D8&gt;50,Satser!$B$13*'Eks HIU'!B8*30,Satser!$B$13*'Eks HIU'!B8*('Eks HIU'!D8-20)), 0)+ IF(D8&gt;50, IF(D8&gt;100,Satser!$B$14*'Eks HIU'!B8*50,Satser!$B$14*'Eks HIU'!B8*('Eks HIU'!D8-50)), 0) + IF(D8&gt;100, Satser!$B$15*'Eks HIU'!B8*('Eks HIU'!D8-100), 0)</f>
        <v>60</v>
      </c>
      <c r="H8" s="52">
        <f>Satser!$B$32+IF(B8&gt;7,+(Satser!$B$33*D8))+IF(B8&gt;14,Satser!$B$34*D8)+IF(B8&gt;29,Satser!$B$35*D8)</f>
        <v>28</v>
      </c>
      <c r="I8" s="52">
        <f>Satser!$B$22*E8</f>
        <v>4</v>
      </c>
      <c r="J8" s="96">
        <f>SUM(F8:I8)*0.355</f>
        <v>84.844999999999999</v>
      </c>
      <c r="K8" s="120">
        <f t="shared" ref="K8:K14" si="0">L8-J8</f>
        <v>15.155000000000001</v>
      </c>
      <c r="L8" s="68">
        <f>SUM(M8:Q8)</f>
        <v>100</v>
      </c>
      <c r="M8" s="89">
        <v>50</v>
      </c>
      <c r="N8" s="89">
        <v>5</v>
      </c>
      <c r="O8" s="89">
        <v>31</v>
      </c>
      <c r="P8" s="89">
        <v>14</v>
      </c>
      <c r="Q8" s="89">
        <v>0</v>
      </c>
      <c r="R8" s="71">
        <v>182</v>
      </c>
      <c r="S8" s="90">
        <f>L8+R8</f>
        <v>282</v>
      </c>
      <c r="T8" s="91">
        <f>L8*100/(S8-Q8)</f>
        <v>35.460992907801419</v>
      </c>
    </row>
    <row r="9" spans="1:20" s="79" customFormat="1" x14ac:dyDescent="0.25">
      <c r="A9" s="96" t="s">
        <v>61</v>
      </c>
      <c r="B9" s="300">
        <v>7.5</v>
      </c>
      <c r="C9" s="97">
        <f>(Satser!$B$7+(B9*Satser!$B$8))</f>
        <v>42</v>
      </c>
      <c r="D9" s="301">
        <v>20</v>
      </c>
      <c r="E9" s="203">
        <v>4</v>
      </c>
      <c r="F9" s="97">
        <f>C9*Satser!$B$9</f>
        <v>147</v>
      </c>
      <c r="G9" s="97">
        <f>Satser!$B$12*'Eks HIU'!B9+ IF(D9&gt;20 &amp; D9&lt;51, 1,0) + IF(D9&gt;20, IF(D9&gt;50,Satser!$B$13*'Eks HIU'!B9*30,Satser!$B$13*'Eks HIU'!B9*('Eks HIU'!D9-20)), 0)+ IF(D9&gt;50, IF(D9&gt;100,Satser!$B$14*'Eks HIU'!B9*50,Satser!$B$14*'Eks HIU'!B9*('Eks HIU'!D9-50)), 0) + IF(D9&gt;100, Satser!$B$15*'Eks HIU'!B9*('Eks HIU'!D9-100), 0)</f>
        <v>60</v>
      </c>
      <c r="H9" s="52">
        <f>Satser!$B$32+IF(B9&gt;7,+(Satser!$B$33*D9))+IF(B9&gt;14,Satser!$B$34*D9)+IF(B9&gt;29,Satser!$B$35*D9)</f>
        <v>28</v>
      </c>
      <c r="I9" s="52">
        <f>Satser!$B$22*E9</f>
        <v>4</v>
      </c>
      <c r="J9" s="96">
        <f>SUM(F9:I9)*0.424</f>
        <v>101.336</v>
      </c>
      <c r="K9" s="120">
        <f t="shared" si="0"/>
        <v>43.164000000000001</v>
      </c>
      <c r="L9" s="68">
        <f t="shared" ref="L9:L14" si="1">SUM(M9:Q9)</f>
        <v>144.5</v>
      </c>
      <c r="M9" s="89">
        <v>52.5</v>
      </c>
      <c r="N9" s="89">
        <v>5</v>
      </c>
      <c r="O9" s="89">
        <v>31</v>
      </c>
      <c r="P9" s="89">
        <v>14</v>
      </c>
      <c r="Q9" s="89">
        <v>42</v>
      </c>
      <c r="R9" s="71">
        <v>238</v>
      </c>
      <c r="S9" s="90">
        <f t="shared" ref="S9:S14" si="2">L9+R9</f>
        <v>382.5</v>
      </c>
      <c r="T9" s="91">
        <f t="shared" ref="T9:T14" si="3">L9*100/(S9-Q9)</f>
        <v>42.437591776798826</v>
      </c>
    </row>
    <row r="10" spans="1:20" s="79" customFormat="1" x14ac:dyDescent="0.25">
      <c r="A10" s="96" t="s">
        <v>62</v>
      </c>
      <c r="B10" s="300">
        <v>15</v>
      </c>
      <c r="C10" s="97">
        <f>(Satser!$B$7+(B10*Satser!$B$8))</f>
        <v>72</v>
      </c>
      <c r="D10" s="301">
        <v>20</v>
      </c>
      <c r="E10" s="203">
        <v>4</v>
      </c>
      <c r="F10" s="97">
        <f>C10*Satser!$B$9</f>
        <v>252</v>
      </c>
      <c r="G10" s="97">
        <f>Satser!$B$12*'Eks HIU'!B10+ IF(D10&gt;20 &amp; D10&lt;51, 1,0) + IF(D10&gt;20, IF(D10&gt;50,Satser!$B$13*'Eks HIU'!B10*30,Satser!$B$13*'Eks HIU'!B10*('Eks HIU'!D10-20)), 0)+ IF(D10&gt;50, IF(D10&gt;100,Satser!$B$14*'Eks HIU'!B10*50,Satser!$B$14*'Eks HIU'!B10*('Eks HIU'!D10-50)), 0) + IF(D10&gt;100, Satser!$B$15*'Eks HIU'!B10*('Eks HIU'!D10-100), 0)</f>
        <v>120</v>
      </c>
      <c r="H10" s="52">
        <f>Satser!$B$32+IF(B10&gt;7,+(Satser!$B$33*D10))+IF(B10&gt;14,Satser!$B$34*D10)+IF(B10&gt;29,Satser!$B$35*D10)</f>
        <v>48</v>
      </c>
      <c r="I10" s="52">
        <f>Satser!$B$22*E10</f>
        <v>4</v>
      </c>
      <c r="J10" s="96">
        <f>SUM(F10:I10)*0.344</f>
        <v>145.85599999999999</v>
      </c>
      <c r="K10" s="120">
        <f t="shared" si="0"/>
        <v>60.144000000000005</v>
      </c>
      <c r="L10" s="68">
        <f t="shared" si="1"/>
        <v>206</v>
      </c>
      <c r="M10" s="89">
        <v>125</v>
      </c>
      <c r="N10" s="89">
        <v>10</v>
      </c>
      <c r="O10" s="89">
        <v>30</v>
      </c>
      <c r="P10" s="89">
        <v>24</v>
      </c>
      <c r="Q10" s="89">
        <v>17</v>
      </c>
      <c r="R10" s="71">
        <v>409</v>
      </c>
      <c r="S10" s="90">
        <f t="shared" si="2"/>
        <v>615</v>
      </c>
      <c r="T10" s="91">
        <f t="shared" si="3"/>
        <v>34.448160535117054</v>
      </c>
    </row>
    <row r="11" spans="1:20" s="79" customFormat="1" x14ac:dyDescent="0.25">
      <c r="A11" s="96" t="s">
        <v>63</v>
      </c>
      <c r="B11" s="300">
        <v>30</v>
      </c>
      <c r="C11" s="97">
        <f>(Satser!$B$7+(B11*Satser!$B$8))</f>
        <v>132</v>
      </c>
      <c r="D11" s="301">
        <v>20</v>
      </c>
      <c r="E11" s="203">
        <v>4</v>
      </c>
      <c r="F11" s="97">
        <f>C11*Satser!$B$9</f>
        <v>462</v>
      </c>
      <c r="G11" s="97">
        <f>Satser!$B$12*'Eks HIU'!B11+ IF(D11&gt;20 &amp; D11&lt;51, 1,0) + IF(D11&gt;20, IF(D11&gt;50,Satser!$B$13*'Eks HIU'!B11*30,Satser!$B$13*'Eks HIU'!B11*('Eks HIU'!D11-20)), 0)+ IF(D11&gt;50, IF(D11&gt;100,Satser!$B$14*'Eks HIU'!B11*50,Satser!$B$14*'Eks HIU'!B11*('Eks HIU'!D11-50)), 0) + IF(D11&gt;100, Satser!$B$15*'Eks HIU'!B11*('Eks HIU'!D11-100), 0)</f>
        <v>240</v>
      </c>
      <c r="H11" s="52">
        <f>Satser!$B$32+IF(B11&gt;7,+(Satser!$B$33*D11))+IF(B11&gt;14,Satser!$B$34*D11)+IF(B11&gt;29,Satser!$B$35*D11)</f>
        <v>88</v>
      </c>
      <c r="I11" s="52">
        <f>Satser!$B$22*E11</f>
        <v>4</v>
      </c>
      <c r="J11" s="96">
        <f>SUM(F11:I11)*0.06</f>
        <v>47.64</v>
      </c>
      <c r="K11" s="120">
        <f t="shared" si="0"/>
        <v>2.3599999999999994</v>
      </c>
      <c r="L11" s="68">
        <f t="shared" si="1"/>
        <v>50</v>
      </c>
      <c r="M11" s="89">
        <v>50</v>
      </c>
      <c r="N11" s="89"/>
      <c r="O11" s="89"/>
      <c r="P11" s="89"/>
      <c r="Q11" s="89"/>
      <c r="R11" s="71">
        <v>754</v>
      </c>
      <c r="S11" s="90">
        <f t="shared" si="2"/>
        <v>804</v>
      </c>
      <c r="T11" s="91">
        <f t="shared" si="3"/>
        <v>6.2189054726368163</v>
      </c>
    </row>
    <row r="12" spans="1:20" s="79" customFormat="1" x14ac:dyDescent="0.25">
      <c r="A12" s="96" t="s">
        <v>64</v>
      </c>
      <c r="B12" s="300">
        <v>15</v>
      </c>
      <c r="C12" s="97">
        <f>(Satser!$B$7+(B12*Satser!$B$8))</f>
        <v>72</v>
      </c>
      <c r="D12" s="301">
        <v>15</v>
      </c>
      <c r="E12" s="203">
        <v>4</v>
      </c>
      <c r="F12" s="97">
        <f>C12*Satser!$B$9</f>
        <v>252</v>
      </c>
      <c r="G12" s="97">
        <f>Satser!$B$12*'Eks HIU'!B12+ IF(D12&gt;20 &amp; D12&lt;51, 1,0) + IF(D12&gt;20, IF(D12&gt;50,Satser!$B$13*'Eks HIU'!B12*30,Satser!$B$13*'Eks HIU'!B12*('Eks HIU'!D12-20)), 0)+ IF(D12&gt;50, IF(D12&gt;100,Satser!$B$14*'Eks HIU'!B12*50,Satser!$B$14*'Eks HIU'!B12*('Eks HIU'!D12-50)), 0) + IF(D12&gt;100, Satser!$B$15*'Eks HIU'!B12*('Eks HIU'!D12-100), 0)</f>
        <v>120</v>
      </c>
      <c r="H12" s="52">
        <f>Satser!$B$32+IF(B12&gt;7,+(Satser!$B$33*D12))+IF(B12&gt;14,Satser!$B$34*D12)+IF(B12&gt;29,Satser!$B$35*D12)</f>
        <v>38</v>
      </c>
      <c r="I12" s="52">
        <f>Satser!$B$22*E12</f>
        <v>4</v>
      </c>
      <c r="J12" s="96">
        <f>SUM(F12:I12)*0.73</f>
        <v>302.21999999999997</v>
      </c>
      <c r="K12" s="120">
        <f t="shared" si="0"/>
        <v>7.7800000000000296</v>
      </c>
      <c r="L12" s="68">
        <f t="shared" si="1"/>
        <v>310</v>
      </c>
      <c r="M12" s="89">
        <v>148.5</v>
      </c>
      <c r="N12" s="89">
        <v>18.5</v>
      </c>
      <c r="O12" s="89">
        <v>57</v>
      </c>
      <c r="P12" s="89">
        <v>54</v>
      </c>
      <c r="Q12" s="89">
        <v>32</v>
      </c>
      <c r="R12" s="71">
        <v>146</v>
      </c>
      <c r="S12" s="90">
        <f t="shared" si="2"/>
        <v>456</v>
      </c>
      <c r="T12" s="91">
        <f t="shared" si="3"/>
        <v>73.113207547169807</v>
      </c>
    </row>
    <row r="13" spans="1:20" s="79" customFormat="1" x14ac:dyDescent="0.25">
      <c r="A13" s="96" t="s">
        <v>64</v>
      </c>
      <c r="B13" s="300">
        <v>15</v>
      </c>
      <c r="C13" s="97">
        <f>(Satser!$B$7+(B13*Satser!$B$8))</f>
        <v>72</v>
      </c>
      <c r="D13" s="301">
        <v>15</v>
      </c>
      <c r="E13" s="203">
        <v>4</v>
      </c>
      <c r="F13" s="97">
        <f>C13*Satser!$B$9</f>
        <v>252</v>
      </c>
      <c r="G13" s="97">
        <f>Satser!$B$12*'Eks HIU'!B13+ IF(D13&gt;20 &amp; D13&lt;51, 1,0) + IF(D13&gt;20, IF(D13&gt;50,Satser!$B$13*'Eks HIU'!B13*30,Satser!$B$13*'Eks HIU'!B13*('Eks HIU'!D13-20)), 0)+ IF(D13&gt;50, IF(D13&gt;100,Satser!$B$14*'Eks HIU'!B13*50,Satser!$B$14*'Eks HIU'!B13*('Eks HIU'!D13-50)), 0) + IF(D13&gt;100, Satser!$B$15*'Eks HIU'!B13*('Eks HIU'!D13-100), 0)</f>
        <v>120</v>
      </c>
      <c r="H13" s="52">
        <f>Satser!$B$32+IF(B13&gt;7,+(Satser!$B$33*D13))+IF(B13&gt;14,Satser!$B$34*D13)+IF(B13&gt;29,Satser!$B$35*D13)</f>
        <v>38</v>
      </c>
      <c r="I13" s="52">
        <f>Satser!$B$22*E13</f>
        <v>4</v>
      </c>
      <c r="J13" s="96">
        <f>SUM(F13:I13)*0.036</f>
        <v>14.903999999999998</v>
      </c>
      <c r="K13" s="120">
        <f t="shared" si="0"/>
        <v>9.6000000000001862E-2</v>
      </c>
      <c r="L13" s="68">
        <f t="shared" si="1"/>
        <v>15</v>
      </c>
      <c r="M13" s="89"/>
      <c r="N13" s="89"/>
      <c r="O13" s="89">
        <v>15</v>
      </c>
      <c r="P13" s="89"/>
      <c r="Q13" s="89"/>
      <c r="R13" s="71">
        <v>407</v>
      </c>
      <c r="S13" s="90">
        <f t="shared" si="2"/>
        <v>422</v>
      </c>
      <c r="T13" s="91">
        <f t="shared" si="3"/>
        <v>3.5545023696682465</v>
      </c>
    </row>
    <row r="14" spans="1:20" s="79" customFormat="1" x14ac:dyDescent="0.25">
      <c r="A14" s="96" t="s">
        <v>65</v>
      </c>
      <c r="B14" s="300">
        <v>15</v>
      </c>
      <c r="C14" s="97">
        <f>(Satser!$B$7+(B14*Satser!$B$8))</f>
        <v>72</v>
      </c>
      <c r="D14" s="301">
        <v>20</v>
      </c>
      <c r="E14" s="203">
        <v>4</v>
      </c>
      <c r="F14" s="97">
        <f>C14*Satser!$B$9</f>
        <v>252</v>
      </c>
      <c r="G14" s="97">
        <f>Satser!$B$12*'Eks HIU'!B14+ IF(D14&gt;20 &amp; D14&lt;51, 1,0) + IF(D14&gt;20, IF(D14&gt;50,Satser!$B$13*'Eks HIU'!B14*30,Satser!$B$13*'Eks HIU'!B14*('Eks HIU'!D14-20)), 0)+ IF(D14&gt;50, IF(D14&gt;100,Satser!$B$14*'Eks HIU'!B14*50,Satser!$B$14*'Eks HIU'!B14*('Eks HIU'!D14-50)), 0) + IF(D14&gt;100, Satser!$B$15*'Eks HIU'!B14*('Eks HIU'!D14-100), 0)</f>
        <v>120</v>
      </c>
      <c r="H14" s="52">
        <f>Satser!$B$32+IF(B14&gt;7,+(Satser!$B$33*D14))+IF(B14&gt;14,Satser!$B$34*D14)+IF(B14&gt;29,Satser!$B$35*D14)</f>
        <v>48</v>
      </c>
      <c r="I14" s="52">
        <f>Satser!$B$22*E14</f>
        <v>4</v>
      </c>
      <c r="J14" s="96">
        <f>SUM(F14:I14)*0.69</f>
        <v>292.56</v>
      </c>
      <c r="K14" s="120">
        <f t="shared" si="0"/>
        <v>20.439999999999998</v>
      </c>
      <c r="L14" s="68">
        <f t="shared" si="1"/>
        <v>313</v>
      </c>
      <c r="M14" s="89">
        <v>147</v>
      </c>
      <c r="N14" s="89">
        <v>20</v>
      </c>
      <c r="O14" s="89">
        <v>63</v>
      </c>
      <c r="P14" s="89">
        <v>48</v>
      </c>
      <c r="Q14" s="89">
        <v>35</v>
      </c>
      <c r="R14" s="71">
        <v>174.5</v>
      </c>
      <c r="S14" s="90">
        <f t="shared" si="2"/>
        <v>487.5</v>
      </c>
      <c r="T14" s="91">
        <f t="shared" si="3"/>
        <v>69.171270718232037</v>
      </c>
    </row>
    <row r="15" spans="1:20" s="70" customFormat="1" x14ac:dyDescent="0.25">
      <c r="A15" s="68"/>
      <c r="B15" s="92"/>
      <c r="C15" s="69"/>
      <c r="D15" s="69"/>
      <c r="E15" s="69"/>
      <c r="F15" s="69"/>
      <c r="G15" s="69"/>
      <c r="H15" s="69"/>
      <c r="I15" s="69"/>
      <c r="J15" s="88"/>
      <c r="K15" s="121"/>
      <c r="L15" s="107"/>
      <c r="M15" s="107"/>
      <c r="N15" s="107"/>
      <c r="O15" s="107"/>
      <c r="P15" s="107"/>
      <c r="Q15" s="107"/>
      <c r="R15" s="71"/>
      <c r="S15" s="90"/>
      <c r="T15" s="91"/>
    </row>
    <row r="16" spans="1:20" s="102" customFormat="1" x14ac:dyDescent="0.25">
      <c r="A16" s="107" t="s">
        <v>230</v>
      </c>
      <c r="B16" s="312"/>
      <c r="C16" s="113">
        <f>(Satser!$B$7+(B16*Satser!$B$8))</f>
        <v>12</v>
      </c>
      <c r="D16" s="313"/>
      <c r="E16" s="313"/>
      <c r="F16" s="113">
        <f>C16*Satser!$B$9</f>
        <v>42</v>
      </c>
      <c r="G16" s="113">
        <f>Satser!$B$12*B16+ IF(D16&gt;20 &amp; D16&lt;51, 1,0) + IF(D16&gt;20, IF(D16&gt;50,Satser!$B$13*B16*30,Satser!$B$13*B16*(D16-20)), 0)+ IF(D16&gt;50, IF(D16&gt;100,Satser!$B$14*B16*50,Satser!$B$14*B16*(D16-50)), 0) + IF(D16&gt;100, Satser!$B$15*B16*(D16-100), 0)</f>
        <v>0</v>
      </c>
      <c r="H16" s="113">
        <f>Satser!$B$32+IF(B16&gt;7,+(Satser!$B$33*D16))+IF(B16&gt;14,Satser!$B$34*D16)+IF(B16&gt;29,Satser!$B$35*D16)</f>
        <v>8</v>
      </c>
      <c r="I16" s="113">
        <f>Satser!$B$22*E16</f>
        <v>0</v>
      </c>
      <c r="J16" s="107"/>
      <c r="K16" s="107"/>
      <c r="L16" s="322" t="s">
        <v>201</v>
      </c>
      <c r="M16" s="311"/>
      <c r="R16" s="323"/>
    </row>
    <row r="17" spans="1:20" s="70" customFormat="1" x14ac:dyDescent="0.25">
      <c r="A17" s="68"/>
      <c r="B17" s="92"/>
      <c r="C17" s="69"/>
      <c r="D17" s="69"/>
      <c r="E17" s="69"/>
      <c r="F17" s="69"/>
      <c r="G17" s="69"/>
      <c r="H17" s="69"/>
      <c r="I17" s="69"/>
      <c r="J17" s="88"/>
      <c r="K17" s="121"/>
      <c r="L17" s="107"/>
      <c r="M17" s="107"/>
      <c r="N17" s="107"/>
      <c r="O17" s="107"/>
      <c r="P17" s="107"/>
      <c r="Q17" s="107"/>
      <c r="R17" s="71"/>
      <c r="S17" s="90"/>
      <c r="T17" s="91"/>
    </row>
    <row r="18" spans="1:20" s="70" customFormat="1" x14ac:dyDescent="0.25">
      <c r="B18" s="92"/>
      <c r="C18" s="69"/>
      <c r="D18" s="69"/>
      <c r="E18" s="69"/>
      <c r="F18" s="69"/>
      <c r="G18" s="69"/>
      <c r="H18" s="167"/>
      <c r="I18" s="69"/>
      <c r="J18" s="88"/>
      <c r="K18" s="88"/>
      <c r="M18" s="75"/>
      <c r="N18" s="75"/>
      <c r="O18" s="76"/>
      <c r="P18" s="76"/>
      <c r="Q18" s="76"/>
      <c r="R18" s="71"/>
      <c r="S18" s="71"/>
    </row>
    <row r="19" spans="1:20" s="70" customFormat="1" x14ac:dyDescent="0.25">
      <c r="B19" s="92"/>
      <c r="C19" s="69"/>
      <c r="D19" s="69"/>
      <c r="E19" s="69"/>
      <c r="F19" s="69"/>
      <c r="G19" s="69"/>
      <c r="H19" s="69"/>
      <c r="I19" s="69"/>
      <c r="J19" s="88"/>
      <c r="K19" s="88"/>
      <c r="M19" s="75"/>
      <c r="N19" s="75"/>
      <c r="O19" s="76"/>
      <c r="P19" s="76"/>
      <c r="Q19" s="76"/>
      <c r="R19" s="71"/>
      <c r="S19" s="71"/>
    </row>
    <row r="20" spans="1:20" ht="26.25" x14ac:dyDescent="0.25">
      <c r="A20" s="31" t="s">
        <v>28</v>
      </c>
      <c r="B20" s="24" t="s">
        <v>7</v>
      </c>
      <c r="C20" s="189" t="s">
        <v>115</v>
      </c>
      <c r="D20" s="189" t="s">
        <v>120</v>
      </c>
      <c r="E20" s="189"/>
      <c r="J20" s="22"/>
      <c r="K20" s="22"/>
      <c r="L20" s="70"/>
      <c r="M20" s="75"/>
      <c r="N20" s="75"/>
      <c r="O20" s="76"/>
      <c r="P20" s="76"/>
      <c r="Q20" s="76"/>
      <c r="R20" s="71"/>
    </row>
    <row r="21" spans="1:20" x14ac:dyDescent="0.25">
      <c r="A21" s="98" t="s">
        <v>6</v>
      </c>
      <c r="B21" s="304">
        <v>30</v>
      </c>
      <c r="C21" s="304">
        <v>20</v>
      </c>
      <c r="D21" s="304">
        <v>2</v>
      </c>
      <c r="E21" s="212"/>
      <c r="F21" s="99"/>
      <c r="G21" s="99"/>
      <c r="H21" s="99"/>
      <c r="I21" s="99"/>
      <c r="J21" s="100">
        <f>B21+(C21*D21)</f>
        <v>70</v>
      </c>
      <c r="K21" s="84">
        <f>SUM(J8:J21)</f>
        <v>1059.3609999999999</v>
      </c>
      <c r="L21" s="70">
        <v>88</v>
      </c>
      <c r="M21" s="75"/>
      <c r="N21" s="89"/>
      <c r="O21" s="76"/>
      <c r="P21" s="76"/>
      <c r="Q21" s="76"/>
      <c r="R21" s="71"/>
    </row>
    <row r="22" spans="1:20" x14ac:dyDescent="0.25">
      <c r="J22" s="22"/>
      <c r="K22" s="22"/>
      <c r="L22" s="70"/>
      <c r="M22" s="70"/>
      <c r="N22" s="70"/>
      <c r="O22" s="71"/>
      <c r="P22" s="71"/>
      <c r="Q22" s="71"/>
      <c r="R22" s="71"/>
    </row>
    <row r="23" spans="1:20" ht="18" thickBot="1" x14ac:dyDescent="0.35">
      <c r="A23" s="47" t="s">
        <v>27</v>
      </c>
      <c r="B23" s="34"/>
      <c r="C23" s="34"/>
      <c r="D23" s="34"/>
      <c r="E23" s="34"/>
      <c r="F23" s="34"/>
      <c r="J23" s="22"/>
      <c r="K23" s="22"/>
      <c r="L23" s="70"/>
      <c r="M23" s="70"/>
      <c r="N23" s="70"/>
      <c r="O23" s="71"/>
      <c r="P23" s="71"/>
      <c r="Q23" s="71"/>
      <c r="R23" s="71"/>
    </row>
    <row r="24" spans="1:20" ht="15.75" thickTop="1" x14ac:dyDescent="0.25">
      <c r="A24" s="35" t="s">
        <v>32</v>
      </c>
      <c r="B24" s="305">
        <v>0.1895</v>
      </c>
      <c r="C24" s="26"/>
      <c r="I24" s="103"/>
      <c r="J24" s="22">
        <f>D4*B24</f>
        <v>319.78125</v>
      </c>
      <c r="K24" s="22"/>
      <c r="L24" s="66"/>
    </row>
    <row r="25" spans="1:20" x14ac:dyDescent="0.25">
      <c r="J25" s="22"/>
      <c r="K25" s="22"/>
      <c r="L25" s="66"/>
    </row>
    <row r="26" spans="1:20" ht="18" thickBot="1" x14ac:dyDescent="0.35">
      <c r="A26" s="47" t="s">
        <v>48</v>
      </c>
      <c r="B26" s="34"/>
      <c r="C26" s="34"/>
      <c r="J26" s="22"/>
      <c r="K26" s="22"/>
      <c r="L26" s="66"/>
    </row>
    <row r="27" spans="1:20" ht="15.75" thickTop="1" x14ac:dyDescent="0.25">
      <c r="A27" s="35" t="s">
        <v>33</v>
      </c>
      <c r="B27" s="306">
        <v>0.05</v>
      </c>
      <c r="C27" s="27"/>
      <c r="D27" s="30"/>
      <c r="E27" s="30"/>
      <c r="J27" s="53">
        <f>B27*D4</f>
        <v>84.375</v>
      </c>
      <c r="K27" s="81"/>
      <c r="L27" s="66"/>
    </row>
    <row r="28" spans="1:20" s="25" customFormat="1" x14ac:dyDescent="0.25">
      <c r="A28" s="126" t="s">
        <v>73</v>
      </c>
      <c r="B28" s="94"/>
      <c r="C28" s="94"/>
      <c r="D28" s="95"/>
      <c r="E28" s="95"/>
      <c r="F28" s="95"/>
      <c r="G28" s="95"/>
      <c r="H28" s="95"/>
      <c r="I28" s="95"/>
      <c r="J28" s="96">
        <v>30</v>
      </c>
      <c r="K28" s="78"/>
      <c r="L28" s="66"/>
      <c r="O28" s="49"/>
      <c r="P28" s="49"/>
      <c r="Q28" s="49"/>
      <c r="R28" s="49"/>
      <c r="S28" s="49"/>
    </row>
    <row r="29" spans="1:20" x14ac:dyDescent="0.25">
      <c r="A29" s="31"/>
      <c r="B29" s="27"/>
      <c r="C29" s="27"/>
      <c r="J29" s="22"/>
      <c r="K29" s="22"/>
      <c r="L29" s="66"/>
    </row>
    <row r="30" spans="1:20" ht="18" thickBot="1" x14ac:dyDescent="0.35">
      <c r="A30" s="47" t="s">
        <v>20</v>
      </c>
      <c r="J30" s="22"/>
      <c r="K30" s="22"/>
      <c r="L30" s="66"/>
    </row>
    <row r="31" spans="1:20" ht="15.75" thickTop="1" x14ac:dyDescent="0.25">
      <c r="A31" s="35" t="s">
        <v>4</v>
      </c>
      <c r="B31" s="306">
        <v>0.05</v>
      </c>
      <c r="C31" s="27"/>
      <c r="J31" s="22">
        <f>D4*B31</f>
        <v>84.375</v>
      </c>
      <c r="K31" s="22"/>
      <c r="L31" s="66"/>
    </row>
    <row r="32" spans="1:20" x14ac:dyDescent="0.25">
      <c r="A32" s="36" t="s">
        <v>35</v>
      </c>
      <c r="B32" s="28"/>
      <c r="C32" s="28"/>
      <c r="D32" s="25"/>
      <c r="E32" s="25"/>
      <c r="J32" s="22"/>
      <c r="K32" s="22"/>
      <c r="L32" s="70"/>
      <c r="M32" s="70"/>
    </row>
    <row r="33" spans="1:19" x14ac:dyDescent="0.25">
      <c r="A33" s="93" t="s">
        <v>66</v>
      </c>
      <c r="B33" s="94"/>
      <c r="C33" s="94"/>
      <c r="D33" s="95"/>
      <c r="E33" s="95"/>
      <c r="F33" s="95"/>
      <c r="G33" s="95"/>
      <c r="H33" s="95"/>
      <c r="I33" s="95"/>
      <c r="J33" s="96"/>
      <c r="K33" s="22"/>
      <c r="L33" s="70"/>
      <c r="M33" s="124"/>
    </row>
    <row r="34" spans="1:19" x14ac:dyDescent="0.25">
      <c r="A34" s="96" t="s">
        <v>61</v>
      </c>
      <c r="B34" s="302">
        <v>7.5</v>
      </c>
      <c r="C34" s="105" t="s">
        <v>54</v>
      </c>
      <c r="D34" s="303">
        <f>D9</f>
        <v>20</v>
      </c>
      <c r="E34" s="95"/>
      <c r="F34" s="95"/>
      <c r="G34" s="95"/>
      <c r="H34" s="95"/>
      <c r="I34" s="95"/>
      <c r="J34" s="297">
        <f>Satser!$B$63+B34+(D34*Satser!$B$64)</f>
        <v>37.5</v>
      </c>
      <c r="K34" s="22"/>
      <c r="L34" s="70">
        <v>42</v>
      </c>
      <c r="M34" s="70"/>
    </row>
    <row r="35" spans="1:19" x14ac:dyDescent="0.25">
      <c r="A35" s="96" t="s">
        <v>62</v>
      </c>
      <c r="B35" s="302">
        <v>15</v>
      </c>
      <c r="C35" s="105" t="s">
        <v>54</v>
      </c>
      <c r="D35" s="303">
        <f>D10</f>
        <v>20</v>
      </c>
      <c r="E35" s="95"/>
      <c r="F35" s="95"/>
      <c r="G35" s="95"/>
      <c r="H35" s="95"/>
      <c r="I35" s="95"/>
      <c r="J35" s="297">
        <f>Satser!$B$63+B35+(D35*Satser!$B$64)</f>
        <v>45</v>
      </c>
      <c r="K35" s="22"/>
      <c r="L35" s="70">
        <v>17</v>
      </c>
      <c r="M35" s="70"/>
    </row>
    <row r="36" spans="1:19" x14ac:dyDescent="0.25">
      <c r="A36" s="96" t="s">
        <v>64</v>
      </c>
      <c r="B36" s="302">
        <v>15</v>
      </c>
      <c r="C36" s="105" t="s">
        <v>54</v>
      </c>
      <c r="D36" s="303">
        <f>D12</f>
        <v>15</v>
      </c>
      <c r="E36" s="95"/>
      <c r="F36" s="95"/>
      <c r="G36" s="95"/>
      <c r="H36" s="95"/>
      <c r="I36" s="95"/>
      <c r="J36" s="297">
        <f>Satser!$B$63+B36+(D36*Satser!$B$64)</f>
        <v>42.5</v>
      </c>
      <c r="K36" s="22"/>
      <c r="L36" s="70">
        <v>32</v>
      </c>
      <c r="M36" s="70"/>
    </row>
    <row r="37" spans="1:19" x14ac:dyDescent="0.25">
      <c r="A37" s="96" t="s">
        <v>65</v>
      </c>
      <c r="B37" s="302">
        <v>15</v>
      </c>
      <c r="C37" s="105" t="s">
        <v>54</v>
      </c>
      <c r="D37" s="303">
        <f>D14</f>
        <v>20</v>
      </c>
      <c r="E37" s="95"/>
      <c r="F37" s="95"/>
      <c r="G37" s="95"/>
      <c r="H37" s="95"/>
      <c r="I37" s="95"/>
      <c r="J37" s="297">
        <f>Satser!$B$63+B37+(D37*Satser!$B$64)</f>
        <v>45</v>
      </c>
      <c r="K37" s="22"/>
      <c r="L37" s="70">
        <v>35</v>
      </c>
      <c r="M37" s="70"/>
    </row>
    <row r="38" spans="1:19" x14ac:dyDescent="0.25">
      <c r="A38" s="37" t="s">
        <v>36</v>
      </c>
      <c r="B38" s="28"/>
      <c r="C38" s="28"/>
      <c r="D38" s="25"/>
      <c r="E38" s="25"/>
      <c r="G38" s="30"/>
      <c r="J38" s="22"/>
      <c r="K38" s="22"/>
      <c r="L38" s="70"/>
      <c r="M38" s="70"/>
    </row>
    <row r="39" spans="1:19" x14ac:dyDescent="0.25">
      <c r="A39" s="25" t="s">
        <v>37</v>
      </c>
      <c r="B39" s="28"/>
      <c r="C39" s="28"/>
      <c r="D39" s="25"/>
      <c r="E39" s="25"/>
      <c r="J39" s="22"/>
      <c r="K39" s="22"/>
      <c r="L39" s="66"/>
    </row>
    <row r="40" spans="1:19" x14ac:dyDescent="0.25">
      <c r="A40" s="25" t="s">
        <v>38</v>
      </c>
      <c r="B40" s="28"/>
      <c r="C40" s="28"/>
      <c r="D40" s="25"/>
      <c r="E40" s="25"/>
      <c r="J40" s="22"/>
      <c r="K40" s="22"/>
      <c r="L40" s="66"/>
    </row>
    <row r="41" spans="1:19" x14ac:dyDescent="0.25">
      <c r="A41" s="25" t="s">
        <v>39</v>
      </c>
      <c r="B41" s="28"/>
      <c r="C41" s="28"/>
      <c r="D41" s="25"/>
      <c r="E41" s="25"/>
      <c r="J41" s="22"/>
      <c r="K41" s="22"/>
      <c r="L41" s="66"/>
    </row>
    <row r="42" spans="1:19" x14ac:dyDescent="0.25">
      <c r="A42" s="25" t="s">
        <v>40</v>
      </c>
      <c r="B42" s="28"/>
      <c r="C42" s="28"/>
      <c r="D42" s="25"/>
      <c r="E42" s="25"/>
      <c r="J42" s="22"/>
      <c r="K42" s="22"/>
      <c r="L42" s="66"/>
    </row>
    <row r="43" spans="1:19" x14ac:dyDescent="0.25">
      <c r="A43" s="25"/>
      <c r="B43" s="25"/>
      <c r="C43" s="25"/>
      <c r="D43" s="25"/>
      <c r="E43" s="25"/>
      <c r="J43" s="22"/>
      <c r="K43" s="22"/>
      <c r="L43" s="66"/>
    </row>
    <row r="44" spans="1:19" s="40" customFormat="1" ht="17.25" customHeight="1" x14ac:dyDescent="0.25">
      <c r="A44" s="38" t="s">
        <v>42</v>
      </c>
      <c r="B44" s="39"/>
      <c r="C44" s="39"/>
      <c r="D44" s="39"/>
      <c r="E44" s="39"/>
      <c r="F44" s="39"/>
      <c r="G44" s="39"/>
      <c r="H44" s="39"/>
      <c r="I44" s="39"/>
      <c r="J44" s="43">
        <f>SUM(J8:J43)</f>
        <v>1747.8922499999999</v>
      </c>
      <c r="K44" s="43"/>
      <c r="L44" s="67"/>
      <c r="O44" s="49"/>
      <c r="P44" s="49"/>
      <c r="Q44" s="49"/>
      <c r="R44" s="49"/>
      <c r="S44" s="49"/>
    </row>
    <row r="45" spans="1:19" s="40" customFormat="1" ht="15.75" x14ac:dyDescent="0.25">
      <c r="J45" s="44"/>
      <c r="K45" s="44"/>
      <c r="L45" s="67"/>
      <c r="O45" s="49"/>
      <c r="P45" s="49"/>
      <c r="Q45" s="49"/>
      <c r="R45" s="49"/>
      <c r="S45" s="49"/>
    </row>
    <row r="46" spans="1:19" s="40" customFormat="1" ht="18" customHeight="1" x14ac:dyDescent="0.25">
      <c r="A46" s="38" t="s">
        <v>31</v>
      </c>
      <c r="B46" s="39"/>
      <c r="C46" s="39"/>
      <c r="D46" s="39"/>
      <c r="E46" s="39"/>
      <c r="F46" s="39"/>
      <c r="G46" s="39"/>
      <c r="H46" s="39"/>
      <c r="I46" s="39"/>
      <c r="J46" s="43">
        <f>D4</f>
        <v>1687.5</v>
      </c>
      <c r="K46" s="43"/>
      <c r="L46" s="67"/>
      <c r="O46" s="49"/>
      <c r="P46" s="49"/>
      <c r="Q46" s="49"/>
      <c r="R46" s="49"/>
      <c r="S46" s="49"/>
    </row>
    <row r="47" spans="1:19" s="40" customFormat="1" ht="15.75" x14ac:dyDescent="0.25">
      <c r="J47" s="44"/>
      <c r="K47" s="44"/>
      <c r="L47" s="67"/>
      <c r="O47" s="49"/>
      <c r="P47" s="49"/>
      <c r="Q47" s="49"/>
      <c r="R47" s="49"/>
      <c r="S47" s="49"/>
    </row>
    <row r="48" spans="1:19" s="40" customFormat="1" ht="18.75" customHeight="1" x14ac:dyDescent="0.25">
      <c r="A48" s="41" t="s">
        <v>43</v>
      </c>
      <c r="B48" s="42"/>
      <c r="C48" s="42"/>
      <c r="D48" s="42"/>
      <c r="E48" s="42"/>
      <c r="F48" s="42"/>
      <c r="G48" s="42"/>
      <c r="H48" s="42"/>
      <c r="I48" s="42"/>
      <c r="J48" s="45">
        <f>J46-J44</f>
        <v>-60.392249999999876</v>
      </c>
      <c r="K48" s="45"/>
      <c r="L48" s="67"/>
      <c r="O48" s="49"/>
      <c r="P48" s="49"/>
      <c r="Q48" s="49"/>
      <c r="R48" s="49"/>
      <c r="S48" s="49"/>
    </row>
    <row r="49" spans="10:11" x14ac:dyDescent="0.25">
      <c r="J49" s="22"/>
      <c r="K49" s="2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6"/>
  <sheetViews>
    <sheetView zoomScaleNormal="100" workbookViewId="0">
      <selection activeCell="B16" sqref="B16:H16"/>
    </sheetView>
  </sheetViews>
  <sheetFormatPr baseColWidth="10" defaultColWidth="11.5703125" defaultRowHeight="15" x14ac:dyDescent="0.25"/>
  <cols>
    <col min="1" max="1" width="35.140625" style="23" customWidth="1"/>
    <col min="2" max="3" width="10.42578125" style="23" customWidth="1"/>
    <col min="4" max="4" width="11.42578125" style="23" customWidth="1"/>
    <col min="5" max="5" width="8" style="23" customWidth="1"/>
    <col min="6" max="6" width="10.7109375" style="23" customWidth="1"/>
    <col min="7" max="7" width="10.5703125" style="23" customWidth="1"/>
    <col min="8" max="8" width="10.85546875" style="23" customWidth="1"/>
    <col min="9" max="11" width="8.85546875" style="23" customWidth="1"/>
    <col min="12" max="12" width="7.140625" style="23" customWidth="1"/>
    <col min="13" max="14" width="5.5703125" style="23" customWidth="1"/>
    <col min="15" max="17" width="5.5703125" style="49" customWidth="1"/>
    <col min="18" max="19" width="6.7109375" style="49" customWidth="1"/>
    <col min="20" max="21" width="6.7109375" style="23" customWidth="1"/>
    <col min="22" max="23" width="7.85546875" style="23" customWidth="1"/>
    <col min="24" max="24" width="8.28515625" style="23" customWidth="1"/>
    <col min="25" max="16384" width="11.5703125" style="23"/>
  </cols>
  <sheetData>
    <row r="1" spans="1:24" ht="26.25" x14ac:dyDescent="0.4">
      <c r="A1" s="29" t="s">
        <v>202</v>
      </c>
      <c r="H1" s="30"/>
    </row>
    <row r="2" spans="1:24" x14ac:dyDescent="0.25">
      <c r="A2" s="23" t="s">
        <v>197</v>
      </c>
      <c r="H2" s="30"/>
    </row>
    <row r="3" spans="1:24" x14ac:dyDescent="0.25">
      <c r="J3" s="127"/>
    </row>
    <row r="4" spans="1:24" x14ac:dyDescent="0.25">
      <c r="A4" s="31" t="s">
        <v>9</v>
      </c>
      <c r="B4" s="23">
        <v>100</v>
      </c>
      <c r="D4" s="32">
        <v>1687.5</v>
      </c>
      <c r="E4" s="32"/>
      <c r="F4" s="23" t="s">
        <v>10</v>
      </c>
      <c r="J4" s="127"/>
    </row>
    <row r="5" spans="1:24" x14ac:dyDescent="0.25">
      <c r="A5" s="31"/>
      <c r="D5" s="32"/>
      <c r="E5" s="32"/>
      <c r="J5" s="54"/>
      <c r="S5" s="49" t="s">
        <v>97</v>
      </c>
    </row>
    <row r="6" spans="1:24" ht="36.75" customHeight="1" thickBot="1" x14ac:dyDescent="0.35">
      <c r="A6" s="329" t="s">
        <v>19</v>
      </c>
      <c r="B6" s="204"/>
      <c r="C6" s="115" t="s">
        <v>34</v>
      </c>
      <c r="D6" s="205" t="s">
        <v>21</v>
      </c>
      <c r="E6" s="307" t="s">
        <v>198</v>
      </c>
      <c r="F6" s="206" t="s">
        <v>44</v>
      </c>
      <c r="G6" s="205" t="s">
        <v>1</v>
      </c>
      <c r="H6" s="205" t="s">
        <v>23</v>
      </c>
      <c r="I6" s="205" t="s">
        <v>25</v>
      </c>
      <c r="J6" s="115" t="s">
        <v>45</v>
      </c>
      <c r="K6" s="115"/>
      <c r="L6" s="64" t="s">
        <v>50</v>
      </c>
      <c r="M6" s="65" t="s">
        <v>51</v>
      </c>
      <c r="N6" s="65" t="s">
        <v>52</v>
      </c>
      <c r="O6" s="72" t="s">
        <v>25</v>
      </c>
      <c r="P6" s="72" t="s">
        <v>46</v>
      </c>
      <c r="Q6" s="72" t="s">
        <v>47</v>
      </c>
      <c r="R6" s="125" t="s">
        <v>69</v>
      </c>
      <c r="S6" s="125" t="s">
        <v>69</v>
      </c>
      <c r="T6" s="125" t="s">
        <v>72</v>
      </c>
      <c r="U6" s="125" t="s">
        <v>84</v>
      </c>
      <c r="V6" s="143"/>
      <c r="W6" s="143" t="s">
        <v>72</v>
      </c>
      <c r="X6" s="125"/>
    </row>
    <row r="7" spans="1:24" ht="16.5" thickTop="1" thickBot="1" x14ac:dyDescent="0.3">
      <c r="A7" s="330"/>
      <c r="B7" s="207" t="s">
        <v>7</v>
      </c>
      <c r="C7" s="208"/>
      <c r="D7" s="207"/>
      <c r="E7" s="207"/>
      <c r="F7" s="207" t="s">
        <v>22</v>
      </c>
      <c r="G7" s="207" t="s">
        <v>41</v>
      </c>
      <c r="H7" s="207" t="s">
        <v>24</v>
      </c>
      <c r="I7" s="207" t="s">
        <v>26</v>
      </c>
      <c r="J7" s="209"/>
      <c r="K7" s="119" t="s">
        <v>68</v>
      </c>
      <c r="L7" s="65" t="s">
        <v>53</v>
      </c>
      <c r="M7" s="73"/>
      <c r="N7" s="73"/>
      <c r="O7" s="74"/>
      <c r="P7" s="74"/>
      <c r="Q7" s="74"/>
      <c r="R7" s="131" t="s">
        <v>70</v>
      </c>
      <c r="S7" s="131" t="s">
        <v>71</v>
      </c>
      <c r="T7" s="132"/>
      <c r="U7" s="140" t="s">
        <v>85</v>
      </c>
      <c r="V7" s="143" t="s">
        <v>86</v>
      </c>
      <c r="W7" s="143" t="s">
        <v>87</v>
      </c>
      <c r="X7" s="143"/>
    </row>
    <row r="8" spans="1:24" s="79" customFormat="1" x14ac:dyDescent="0.25">
      <c r="A8" s="81" t="s">
        <v>75</v>
      </c>
      <c r="B8" s="308">
        <v>10</v>
      </c>
      <c r="C8" s="104">
        <f>(Satser!$B$7+(B8*Satser!$B$8))</f>
        <v>52</v>
      </c>
      <c r="D8" s="309">
        <v>38</v>
      </c>
      <c r="E8" s="97"/>
      <c r="F8" s="104">
        <f>C8*Satser!$B$9</f>
        <v>182</v>
      </c>
      <c r="G8" s="104">
        <f>Satser!$B$12*'Eks TNM'!B8+ IF(D8&gt;20 &amp; D8&lt;51, 1,0) + IF(D8&gt;20, IF(D8&gt;50,Satser!$B$13*'Eks TNM'!B8*30,Satser!$B$13*'Eks TNM'!B8*('Eks TNM'!D8-20)), 0)+ IF(D8&gt;50, IF(D8&gt;100,Satser!$B$14*'Eks TNM'!B8*50,Satser!$B$14*'Eks TNM'!B8*('Eks TNM'!D8-50)), 0) + IF(D8&gt;100, Satser!$B$15*'Eks TNM'!B8*('Eks TNM'!D8-100), 0)</f>
        <v>116</v>
      </c>
      <c r="H8" s="81"/>
      <c r="I8" s="52">
        <f>Satser!$B$22*E8</f>
        <v>0</v>
      </c>
      <c r="J8" s="81">
        <f>SUM(F8:I8)*W8</f>
        <v>88.427299703264083</v>
      </c>
      <c r="K8" s="146">
        <f>L8-J8</f>
        <v>11.572700296735917</v>
      </c>
      <c r="L8" s="134">
        <f>SUM(M8:Q8)</f>
        <v>100</v>
      </c>
      <c r="M8" s="108">
        <v>100</v>
      </c>
      <c r="N8" s="108"/>
      <c r="O8" s="108"/>
      <c r="P8" s="108"/>
      <c r="Q8" s="108"/>
      <c r="R8" s="133">
        <v>0</v>
      </c>
      <c r="S8" s="133">
        <f>L8+R8</f>
        <v>100</v>
      </c>
      <c r="T8" s="165">
        <f>L8/S8</f>
        <v>1</v>
      </c>
      <c r="U8" s="141">
        <v>337</v>
      </c>
      <c r="V8" s="142">
        <f>U8-L8</f>
        <v>237</v>
      </c>
      <c r="W8" s="145">
        <f>L8/U8</f>
        <v>0.29673590504451036</v>
      </c>
      <c r="X8" s="165"/>
    </row>
    <row r="9" spans="1:24" s="79" customFormat="1" x14ac:dyDescent="0.25">
      <c r="A9" s="81" t="s">
        <v>76</v>
      </c>
      <c r="B9" s="308">
        <v>5</v>
      </c>
      <c r="C9" s="104">
        <f>(Satser!$B$7+(B9*Satser!$B$8))</f>
        <v>32</v>
      </c>
      <c r="D9" s="309">
        <v>36</v>
      </c>
      <c r="E9" s="97">
        <v>36</v>
      </c>
      <c r="F9" s="104">
        <f>C9*Satser!$B$9</f>
        <v>112</v>
      </c>
      <c r="G9" s="104">
        <f>Satser!$B$12*'Eks TNM'!B9+ IF(D9&gt;20 &amp; D9&lt;51, 1,0) + IF(D9&gt;20, IF(D9&gt;50,Satser!$B$13*'Eks TNM'!B9*30,Satser!$B$13*'Eks TNM'!B9*('Eks TNM'!D9-20)), 0)+ IF(D9&gt;50, IF(D9&gt;100,Satser!$B$14*'Eks TNM'!B9*50,Satser!$B$14*'Eks TNM'!B9*('Eks TNM'!D9-50)), 0) + IF(D9&gt;100, Satser!$B$15*'Eks TNM'!B9*('Eks TNM'!D9-100), 0)</f>
        <v>56</v>
      </c>
      <c r="H9" s="81"/>
      <c r="I9" s="52">
        <f>Satser!$B$22*E9</f>
        <v>36</v>
      </c>
      <c r="J9" s="81">
        <f>SUM(F9:I9)*W9</f>
        <v>152.95034079844206</v>
      </c>
      <c r="K9" s="146">
        <f>L9-J9</f>
        <v>1.0496592015579438</v>
      </c>
      <c r="L9" s="134">
        <f t="shared" ref="L9:L14" si="0">SUM(M9:Q9)</f>
        <v>154</v>
      </c>
      <c r="M9" s="108">
        <v>98</v>
      </c>
      <c r="N9" s="108">
        <v>26</v>
      </c>
      <c r="O9" s="108">
        <v>30</v>
      </c>
      <c r="P9" s="108"/>
      <c r="Q9" s="108"/>
      <c r="R9" s="133">
        <v>20</v>
      </c>
      <c r="S9" s="133">
        <f t="shared" ref="S9:S14" si="1">L9+R9</f>
        <v>174</v>
      </c>
      <c r="T9" s="165">
        <f t="shared" ref="T9:T14" si="2">L9/S9</f>
        <v>0.88505747126436785</v>
      </c>
      <c r="U9" s="141">
        <v>205.4</v>
      </c>
      <c r="V9" s="142">
        <f t="shared" ref="V9:V14" si="3">U9-L9</f>
        <v>51.400000000000006</v>
      </c>
      <c r="W9" s="144">
        <f t="shared" ref="W9:W14" si="4">L9/U9</f>
        <v>0.74975657254138262</v>
      </c>
      <c r="X9" s="165"/>
    </row>
    <row r="10" spans="1:24" s="79" customFormat="1" x14ac:dyDescent="0.25">
      <c r="A10" s="81" t="s">
        <v>77</v>
      </c>
      <c r="B10" s="308">
        <v>5</v>
      </c>
      <c r="C10" s="104">
        <f>(Satser!$B$7+(B10*Satser!$B$8))</f>
        <v>32</v>
      </c>
      <c r="D10" s="309">
        <v>66</v>
      </c>
      <c r="E10" s="21">
        <v>66</v>
      </c>
      <c r="F10" s="104">
        <f>C10*Satser!$B$9</f>
        <v>112</v>
      </c>
      <c r="G10" s="104">
        <f>Satser!$B$12*'Eks TNM'!B10+ IF(D10&gt;20 &amp; D10&lt;51, 1,0) + IF(D10&gt;20, IF(D10&gt;50,Satser!$B$13*'Eks TNM'!B10*30,Satser!$B$13*'Eks TNM'!B10*('Eks TNM'!D10-20)), 0)+ IF(D10&gt;50, IF(D10&gt;100,Satser!$B$14*'Eks TNM'!B10*50,Satser!$B$14*'Eks TNM'!B10*('Eks TNM'!D10-50)), 0) + IF(D10&gt;100, Satser!$B$15*'Eks TNM'!B10*('Eks TNM'!D10-100), 0)</f>
        <v>78</v>
      </c>
      <c r="H10" s="81"/>
      <c r="I10" s="52">
        <f>Satser!$B$22*E10</f>
        <v>66</v>
      </c>
      <c r="J10" s="81">
        <f>SUM(F10:I10)*W10</f>
        <v>160.32533550223667</v>
      </c>
      <c r="K10" s="146">
        <f>L10-J10</f>
        <v>-6.3253355022366691</v>
      </c>
      <c r="L10" s="134">
        <f t="shared" si="0"/>
        <v>154</v>
      </c>
      <c r="M10" s="108">
        <v>98</v>
      </c>
      <c r="N10" s="108">
        <v>26</v>
      </c>
      <c r="O10" s="108">
        <v>30</v>
      </c>
      <c r="P10" s="108"/>
      <c r="Q10" s="108"/>
      <c r="R10" s="133">
        <v>35</v>
      </c>
      <c r="S10" s="133">
        <f t="shared" si="1"/>
        <v>189</v>
      </c>
      <c r="T10" s="165">
        <f t="shared" si="2"/>
        <v>0.81481481481481477</v>
      </c>
      <c r="U10" s="141">
        <v>245.9</v>
      </c>
      <c r="V10" s="142">
        <f t="shared" si="3"/>
        <v>91.9</v>
      </c>
      <c r="W10" s="144">
        <f t="shared" si="4"/>
        <v>0.62627084180561199</v>
      </c>
      <c r="X10" s="165"/>
    </row>
    <row r="11" spans="1:24" s="79" customFormat="1" x14ac:dyDescent="0.25">
      <c r="A11" s="81" t="s">
        <v>78</v>
      </c>
      <c r="B11" s="308">
        <v>30</v>
      </c>
      <c r="C11" s="104">
        <f>(Satser!$B$7+(B11*Satser!$B$8))</f>
        <v>132</v>
      </c>
      <c r="D11" s="309">
        <v>69</v>
      </c>
      <c r="E11" s="97"/>
      <c r="F11" s="156" t="s">
        <v>99</v>
      </c>
      <c r="G11" s="104"/>
      <c r="H11" s="81"/>
      <c r="I11" s="52"/>
      <c r="J11" s="81"/>
      <c r="K11" s="146"/>
      <c r="L11" s="134">
        <f t="shared" si="0"/>
        <v>200</v>
      </c>
      <c r="M11" s="108"/>
      <c r="N11" s="108">
        <v>200</v>
      </c>
      <c r="O11" s="108"/>
      <c r="P11" s="108"/>
      <c r="Q11" s="108"/>
      <c r="R11" s="133">
        <v>3700</v>
      </c>
      <c r="S11" s="133">
        <f t="shared" si="1"/>
        <v>3900</v>
      </c>
      <c r="T11" s="165">
        <f t="shared" si="2"/>
        <v>5.128205128205128E-2</v>
      </c>
      <c r="U11" s="141">
        <v>1487.5</v>
      </c>
      <c r="V11" s="142">
        <f t="shared" si="3"/>
        <v>1287.5</v>
      </c>
      <c r="W11" s="144">
        <f t="shared" si="4"/>
        <v>0.13445378151260504</v>
      </c>
      <c r="X11" s="165"/>
    </row>
    <row r="12" spans="1:24" s="79" customFormat="1" x14ac:dyDescent="0.25">
      <c r="A12" s="81" t="s">
        <v>79</v>
      </c>
      <c r="B12" s="308">
        <v>5</v>
      </c>
      <c r="C12" s="104">
        <f>(Satser!$B$7+(B12*Satser!$B$8))</f>
        <v>32</v>
      </c>
      <c r="D12" s="309">
        <v>38</v>
      </c>
      <c r="E12" s="97">
        <v>38</v>
      </c>
      <c r="F12" s="104">
        <f>C12*Satser!$B$9</f>
        <v>112</v>
      </c>
      <c r="G12" s="104">
        <f>Satser!$B$12*'Eks TNM'!B12+ IF(D12&gt;20 &amp; D12&lt;51, 1,0) + IF(D12&gt;20, IF(D12&gt;50,Satser!$B$13*'Eks TNM'!B12*30,Satser!$B$13*'Eks TNM'!B12*('Eks TNM'!D12-20)), 0)+ IF(D12&gt;50, IF(D12&gt;100,Satser!$B$14*'Eks TNM'!B12*50,Satser!$B$14*'Eks TNM'!B12*('Eks TNM'!D12-50)), 0) + IF(D12&gt;100, Satser!$B$15*'Eks TNM'!B12*('Eks TNM'!D12-100), 0)</f>
        <v>58</v>
      </c>
      <c r="H12" s="81"/>
      <c r="I12" s="52">
        <f>Satser!$B$22*E12</f>
        <v>38</v>
      </c>
      <c r="J12" s="81">
        <f>SUM(F12:I12)*W12</f>
        <v>137.61006289308179</v>
      </c>
      <c r="K12" s="146">
        <f>L12-J12</f>
        <v>-0.86006289308178907</v>
      </c>
      <c r="L12" s="134">
        <f t="shared" si="0"/>
        <v>136.75</v>
      </c>
      <c r="M12" s="108">
        <v>98</v>
      </c>
      <c r="N12" s="108"/>
      <c r="O12" s="108">
        <v>38.75</v>
      </c>
      <c r="P12" s="108"/>
      <c r="Q12" s="108"/>
      <c r="R12" s="133">
        <v>39.5</v>
      </c>
      <c r="S12" s="133">
        <f t="shared" si="1"/>
        <v>176.25</v>
      </c>
      <c r="T12" s="165">
        <f t="shared" si="2"/>
        <v>0.77588652482269505</v>
      </c>
      <c r="U12" s="141">
        <v>206.7</v>
      </c>
      <c r="V12" s="142">
        <f t="shared" si="3"/>
        <v>69.949999999999989</v>
      </c>
      <c r="W12" s="144">
        <f t="shared" si="4"/>
        <v>0.66158684083212393</v>
      </c>
      <c r="X12" s="165"/>
    </row>
    <row r="13" spans="1:24" s="79" customFormat="1" x14ac:dyDescent="0.25">
      <c r="A13" s="81" t="s">
        <v>80</v>
      </c>
      <c r="B13" s="308">
        <v>5</v>
      </c>
      <c r="C13" s="104">
        <f>(Satser!$B$7+(B13*Satser!$B$8))</f>
        <v>32</v>
      </c>
      <c r="D13" s="309">
        <v>38</v>
      </c>
      <c r="E13" s="97"/>
      <c r="F13" s="104">
        <f>C13*Satser!$B$9</f>
        <v>112</v>
      </c>
      <c r="G13" s="104">
        <f>Satser!$B$12*'Eks TNM'!B13+ IF(D13&gt;20 &amp; D13&lt;51, 1,0) + IF(D13&gt;20, IF(D13&gt;50,Satser!$B$13*'Eks TNM'!B13*30,Satser!$B$13*'Eks TNM'!B13*('Eks TNM'!D13-20)), 0)+ IF(D13&gt;50, IF(D13&gt;100,Satser!$B$14*'Eks TNM'!B13*50,Satser!$B$14*'Eks TNM'!B13*('Eks TNM'!D13-50)), 0) + IF(D13&gt;100, Satser!$B$15*'Eks TNM'!B13*('Eks TNM'!D13-100), 0)</f>
        <v>58</v>
      </c>
      <c r="H13" s="81"/>
      <c r="I13" s="52">
        <f>Satser!$B$22*E13</f>
        <v>0</v>
      </c>
      <c r="J13" s="81">
        <f>SUM(F13:I13)*W13</f>
        <v>60.534124629080125</v>
      </c>
      <c r="K13" s="146">
        <f>L13-J13</f>
        <v>-0.53412462908012515</v>
      </c>
      <c r="L13" s="134">
        <f t="shared" si="0"/>
        <v>60</v>
      </c>
      <c r="M13" s="108">
        <v>60</v>
      </c>
      <c r="N13" s="108"/>
      <c r="O13" s="108"/>
      <c r="P13" s="108"/>
      <c r="Q13" s="108"/>
      <c r="R13" s="133">
        <v>0</v>
      </c>
      <c r="S13" s="133">
        <f t="shared" si="1"/>
        <v>60</v>
      </c>
      <c r="T13" s="165">
        <f t="shared" si="2"/>
        <v>1</v>
      </c>
      <c r="U13" s="141">
        <v>168.5</v>
      </c>
      <c r="V13" s="142">
        <f t="shared" si="3"/>
        <v>108.5</v>
      </c>
      <c r="W13" s="144">
        <f t="shared" si="4"/>
        <v>0.35608308605341249</v>
      </c>
      <c r="X13" s="165"/>
    </row>
    <row r="14" spans="1:24" s="79" customFormat="1" x14ac:dyDescent="0.25">
      <c r="A14" s="81" t="s">
        <v>81</v>
      </c>
      <c r="B14" s="308">
        <v>10</v>
      </c>
      <c r="C14" s="104">
        <f>(Satser!$B$7+(B14*Satser!$B$8))</f>
        <v>52</v>
      </c>
      <c r="D14" s="309">
        <v>66</v>
      </c>
      <c r="E14" s="97"/>
      <c r="F14" s="104">
        <f>C14*Satser!$B$9</f>
        <v>182</v>
      </c>
      <c r="G14" s="104">
        <f>Satser!$B$12*'Eks TNM'!B14+ IF(D14&gt;20 &amp; D14&lt;51, 1,0) + IF(D14&gt;20, IF(D14&gt;50,Satser!$B$13*'Eks TNM'!B14*30,Satser!$B$13*'Eks TNM'!B14*('Eks TNM'!D14-20)), 0)+ IF(D14&gt;50, IF(D14&gt;100,Satser!$B$14*'Eks TNM'!B14*50,Satser!$B$14*'Eks TNM'!B14*('Eks TNM'!D14-50)), 0) + IF(D14&gt;100, Satser!$B$15*'Eks TNM'!B14*('Eks TNM'!D14-100), 0)</f>
        <v>156</v>
      </c>
      <c r="H14" s="81"/>
      <c r="I14" s="52">
        <f>Satser!$B$22*E14</f>
        <v>0</v>
      </c>
      <c r="J14" s="81">
        <f>SUM(F14:I14)*W14</f>
        <v>82.472549816998779</v>
      </c>
      <c r="K14" s="146">
        <f>L14-J14</f>
        <v>37.527450183001221</v>
      </c>
      <c r="L14" s="134">
        <f t="shared" si="0"/>
        <v>120</v>
      </c>
      <c r="M14" s="108"/>
      <c r="N14" s="108">
        <v>120</v>
      </c>
      <c r="O14" s="108"/>
      <c r="P14" s="108"/>
      <c r="Q14" s="108"/>
      <c r="R14" s="133">
        <v>2020</v>
      </c>
      <c r="S14" s="133">
        <f t="shared" si="1"/>
        <v>2140</v>
      </c>
      <c r="T14" s="165">
        <f t="shared" si="2"/>
        <v>5.6074766355140186E-2</v>
      </c>
      <c r="U14" s="141">
        <v>491.8</v>
      </c>
      <c r="V14" s="142">
        <f t="shared" si="3"/>
        <v>371.8</v>
      </c>
      <c r="W14" s="144">
        <f t="shared" si="4"/>
        <v>0.24400162667751119</v>
      </c>
      <c r="X14" s="165"/>
    </row>
    <row r="15" spans="1:24" s="79" customFormat="1" x14ac:dyDescent="0.25">
      <c r="A15" s="81"/>
      <c r="B15" s="129"/>
      <c r="C15" s="104"/>
      <c r="D15" s="104"/>
      <c r="E15" s="104"/>
      <c r="F15" s="104"/>
      <c r="G15" s="104"/>
      <c r="H15" s="81"/>
      <c r="I15" s="104"/>
      <c r="J15" s="81"/>
      <c r="K15" s="81"/>
      <c r="L15" s="336">
        <f>SUM(L8:L14)</f>
        <v>924.75</v>
      </c>
      <c r="M15" s="336">
        <f t="shared" ref="M15:Q15" si="5">SUM(M8:M14)</f>
        <v>454</v>
      </c>
      <c r="N15" s="336">
        <f t="shared" si="5"/>
        <v>372</v>
      </c>
      <c r="O15" s="336">
        <f t="shared" si="5"/>
        <v>98.75</v>
      </c>
      <c r="P15" s="336">
        <f t="shared" si="5"/>
        <v>0</v>
      </c>
      <c r="Q15" s="336">
        <f t="shared" si="5"/>
        <v>0</v>
      </c>
      <c r="R15" s="133"/>
      <c r="S15" s="135"/>
      <c r="T15" s="136"/>
      <c r="V15" s="141"/>
    </row>
    <row r="16" spans="1:24" s="102" customFormat="1" x14ac:dyDescent="0.25">
      <c r="A16" s="107" t="s">
        <v>231</v>
      </c>
      <c r="B16" s="312">
        <v>10</v>
      </c>
      <c r="C16" s="113">
        <f>(Satser!$B$7+(B16*Satser!$B$8))</f>
        <v>52</v>
      </c>
      <c r="D16" s="313"/>
      <c r="E16" s="313"/>
      <c r="F16" s="113"/>
      <c r="G16" s="113"/>
      <c r="H16" s="113">
        <f>C16*Satser!$B$51</f>
        <v>104</v>
      </c>
      <c r="I16" s="113"/>
      <c r="J16" s="81"/>
      <c r="K16" s="107"/>
      <c r="M16" s="311"/>
    </row>
    <row r="17" spans="1:22" s="79" customFormat="1" x14ac:dyDescent="0.25">
      <c r="A17" s="81"/>
      <c r="B17" s="129"/>
      <c r="C17" s="104"/>
      <c r="D17" s="104"/>
      <c r="E17" s="104"/>
      <c r="F17" s="104"/>
      <c r="G17" s="104"/>
      <c r="H17" s="81"/>
      <c r="I17" s="104"/>
      <c r="J17" s="81"/>
      <c r="K17" s="81"/>
      <c r="L17" s="116"/>
      <c r="M17" s="108"/>
      <c r="N17" s="108"/>
      <c r="O17" s="108"/>
      <c r="P17" s="108"/>
      <c r="Q17" s="108"/>
      <c r="R17" s="133"/>
      <c r="S17" s="135"/>
      <c r="T17" s="136"/>
      <c r="V17" s="141"/>
    </row>
    <row r="18" spans="1:22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17"/>
      <c r="K18" s="17"/>
      <c r="L18" s="66"/>
      <c r="M18" s="24"/>
      <c r="N18" s="24"/>
      <c r="O18" s="77"/>
      <c r="P18" s="77"/>
      <c r="Q18" s="77"/>
    </row>
    <row r="19" spans="1:22" ht="30.75" customHeight="1" x14ac:dyDescent="0.25">
      <c r="A19" s="31" t="s">
        <v>28</v>
      </c>
      <c r="B19" s="24" t="s">
        <v>7</v>
      </c>
      <c r="C19" s="189" t="s">
        <v>115</v>
      </c>
      <c r="D19" s="189" t="s">
        <v>120</v>
      </c>
      <c r="E19" s="189"/>
      <c r="J19" s="22"/>
      <c r="K19" s="22"/>
      <c r="L19" s="66"/>
      <c r="M19" s="24"/>
      <c r="N19" s="24"/>
      <c r="O19" s="77"/>
      <c r="P19" s="77"/>
      <c r="Q19" s="77"/>
    </row>
    <row r="20" spans="1:22" s="95" customFormat="1" x14ac:dyDescent="0.25">
      <c r="A20" s="98" t="s">
        <v>98</v>
      </c>
      <c r="B20" s="304">
        <v>30</v>
      </c>
      <c r="C20" s="304">
        <v>20</v>
      </c>
      <c r="D20" s="304">
        <v>4</v>
      </c>
      <c r="E20" s="304"/>
      <c r="F20" s="99"/>
      <c r="G20" s="99"/>
      <c r="H20" s="99"/>
      <c r="I20" s="99"/>
      <c r="J20" s="100">
        <f>B20+(C20*D20)</f>
        <v>110</v>
      </c>
      <c r="K20" s="106"/>
      <c r="M20" s="97"/>
      <c r="N20" s="195">
        <v>200</v>
      </c>
      <c r="O20" s="166"/>
      <c r="P20" s="166"/>
      <c r="Q20" s="166"/>
      <c r="R20" s="161"/>
      <c r="S20" s="161"/>
    </row>
    <row r="21" spans="1:22" x14ac:dyDescent="0.25">
      <c r="J21" s="22"/>
      <c r="K21" s="22"/>
      <c r="L21" s="66"/>
    </row>
    <row r="22" spans="1:22" ht="18" thickBot="1" x14ac:dyDescent="0.35">
      <c r="A22" s="47" t="s">
        <v>27</v>
      </c>
      <c r="B22" s="34"/>
      <c r="C22" s="34"/>
      <c r="D22" s="34"/>
      <c r="E22" s="34"/>
      <c r="F22" s="34"/>
      <c r="J22" s="22"/>
      <c r="K22" s="22"/>
      <c r="L22" s="66"/>
    </row>
    <row r="23" spans="1:22" ht="15.75" thickTop="1" x14ac:dyDescent="0.25">
      <c r="A23" s="35" t="s">
        <v>32</v>
      </c>
      <c r="B23" s="310">
        <v>0.34250000000000003</v>
      </c>
      <c r="C23" s="26"/>
      <c r="I23" s="139"/>
      <c r="J23" s="22">
        <f>D4*B23</f>
        <v>577.96875</v>
      </c>
      <c r="K23" s="22"/>
      <c r="L23" s="66"/>
    </row>
    <row r="24" spans="1:22" x14ac:dyDescent="0.25">
      <c r="A24" s="148" t="s">
        <v>82</v>
      </c>
      <c r="B24" s="26"/>
      <c r="C24" s="26"/>
      <c r="I24" s="139"/>
      <c r="J24" s="22">
        <v>80</v>
      </c>
      <c r="K24" s="22"/>
      <c r="L24" s="66"/>
    </row>
    <row r="25" spans="1:22" x14ac:dyDescent="0.25">
      <c r="J25" s="22"/>
      <c r="K25" s="22"/>
      <c r="L25" s="66"/>
    </row>
    <row r="26" spans="1:22" ht="18" thickBot="1" x14ac:dyDescent="0.35">
      <c r="A26" s="47" t="s">
        <v>48</v>
      </c>
      <c r="B26" s="34"/>
      <c r="C26" s="34"/>
      <c r="J26" s="22"/>
      <c r="K26" s="22"/>
      <c r="L26" s="66"/>
    </row>
    <row r="27" spans="1:22" ht="15.75" thickTop="1" x14ac:dyDescent="0.25">
      <c r="A27" s="35" t="s">
        <v>33</v>
      </c>
      <c r="B27" s="306"/>
      <c r="C27" s="27"/>
      <c r="D27" s="30" t="s">
        <v>49</v>
      </c>
      <c r="E27" s="30"/>
      <c r="J27" s="81">
        <f>B27*D4</f>
        <v>0</v>
      </c>
      <c r="K27" s="81"/>
      <c r="L27" s="66"/>
    </row>
    <row r="28" spans="1:22" s="25" customFormat="1" x14ac:dyDescent="0.25">
      <c r="A28" s="36"/>
      <c r="B28" s="28"/>
      <c r="C28" s="28"/>
      <c r="D28" s="30"/>
      <c r="E28" s="30"/>
      <c r="J28" s="78"/>
      <c r="K28" s="78"/>
      <c r="L28" s="66"/>
      <c r="O28" s="49"/>
      <c r="P28" s="49"/>
      <c r="Q28" s="49"/>
      <c r="R28" s="49"/>
      <c r="S28" s="49"/>
    </row>
    <row r="29" spans="1:22" x14ac:dyDescent="0.25">
      <c r="A29" s="31"/>
      <c r="B29" s="27"/>
      <c r="C29" s="27"/>
      <c r="J29" s="22"/>
      <c r="K29" s="22"/>
      <c r="L29" s="66"/>
    </row>
    <row r="30" spans="1:22" ht="18" thickBot="1" x14ac:dyDescent="0.35">
      <c r="A30" s="47" t="s">
        <v>20</v>
      </c>
      <c r="J30" s="22"/>
      <c r="K30" s="22"/>
      <c r="L30" s="66"/>
    </row>
    <row r="31" spans="1:22" ht="15.75" thickTop="1" x14ac:dyDescent="0.25">
      <c r="A31" s="35" t="s">
        <v>4</v>
      </c>
      <c r="B31" s="306">
        <v>0.05</v>
      </c>
      <c r="C31" s="27"/>
      <c r="J31" s="22">
        <f>D4*B31</f>
        <v>84.375</v>
      </c>
      <c r="K31" s="22"/>
      <c r="L31" s="66"/>
    </row>
    <row r="32" spans="1:22" x14ac:dyDescent="0.25">
      <c r="A32" s="36" t="s">
        <v>35</v>
      </c>
      <c r="B32" s="28"/>
      <c r="C32" s="28"/>
      <c r="D32" s="25"/>
      <c r="E32" s="25"/>
      <c r="J32" s="22"/>
      <c r="K32" s="22"/>
      <c r="L32" s="66"/>
    </row>
    <row r="33" spans="1:19" x14ac:dyDescent="0.25">
      <c r="A33" s="96" t="s">
        <v>61</v>
      </c>
      <c r="B33" s="302"/>
      <c r="C33" s="105" t="s">
        <v>7</v>
      </c>
      <c r="D33" s="303"/>
      <c r="E33" s="95" t="s">
        <v>199</v>
      </c>
      <c r="F33" s="95"/>
      <c r="G33" s="95"/>
      <c r="H33" s="95"/>
      <c r="J33" s="297">
        <f>Satser!$B$63+B33+(D33*Satser!$B$64)</f>
        <v>20</v>
      </c>
      <c r="K33" s="70"/>
      <c r="L33" s="70"/>
      <c r="N33" s="49"/>
      <c r="S33" s="23"/>
    </row>
    <row r="34" spans="1:19" x14ac:dyDescent="0.25">
      <c r="A34" s="37" t="s">
        <v>36</v>
      </c>
      <c r="B34" s="28"/>
      <c r="C34" s="28"/>
      <c r="D34" s="25"/>
      <c r="E34" s="25"/>
      <c r="G34" s="30"/>
      <c r="J34" s="22"/>
      <c r="K34" s="22"/>
      <c r="L34" s="66"/>
    </row>
    <row r="35" spans="1:19" x14ac:dyDescent="0.25">
      <c r="A35" s="25" t="s">
        <v>37</v>
      </c>
      <c r="B35" s="28"/>
      <c r="C35" s="28"/>
      <c r="D35" s="25"/>
      <c r="E35" s="25"/>
      <c r="J35" s="22"/>
      <c r="K35" s="22"/>
      <c r="L35" s="66"/>
    </row>
    <row r="36" spans="1:19" x14ac:dyDescent="0.25">
      <c r="A36" s="25" t="s">
        <v>38</v>
      </c>
      <c r="B36" s="28"/>
      <c r="C36" s="28"/>
      <c r="D36" s="25"/>
      <c r="E36" s="25"/>
      <c r="J36" s="22"/>
      <c r="K36" s="22"/>
      <c r="L36" s="66"/>
    </row>
    <row r="37" spans="1:19" x14ac:dyDescent="0.25">
      <c r="A37" s="25" t="s">
        <v>39</v>
      </c>
      <c r="B37" s="28"/>
      <c r="C37" s="28"/>
      <c r="D37" s="25"/>
      <c r="E37" s="25"/>
      <c r="J37" s="22"/>
      <c r="K37" s="22"/>
      <c r="L37" s="66"/>
    </row>
    <row r="38" spans="1:19" x14ac:dyDescent="0.25">
      <c r="A38" s="25" t="s">
        <v>40</v>
      </c>
      <c r="B38" s="28"/>
      <c r="C38" s="28"/>
      <c r="D38" s="25"/>
      <c r="E38" s="25"/>
      <c r="J38" s="22"/>
      <c r="K38" s="22"/>
      <c r="L38" s="66"/>
    </row>
    <row r="39" spans="1:19" x14ac:dyDescent="0.25">
      <c r="A39" s="105" t="s">
        <v>83</v>
      </c>
      <c r="B39" s="149"/>
      <c r="C39" s="149"/>
      <c r="D39" s="105"/>
      <c r="E39" s="105"/>
      <c r="F39" s="105"/>
      <c r="G39" s="105"/>
      <c r="H39" s="105"/>
      <c r="I39" s="105"/>
      <c r="J39" s="81">
        <v>20</v>
      </c>
      <c r="K39" s="81"/>
      <c r="L39" s="66"/>
    </row>
    <row r="40" spans="1:19" x14ac:dyDescent="0.25">
      <c r="A40" s="25"/>
      <c r="B40" s="25"/>
      <c r="C40" s="25"/>
      <c r="D40" s="25"/>
      <c r="E40" s="25"/>
      <c r="J40" s="22"/>
      <c r="K40" s="22"/>
      <c r="L40" s="66"/>
    </row>
    <row r="41" spans="1:19" s="40" customFormat="1" ht="17.25" customHeight="1" x14ac:dyDescent="0.25">
      <c r="A41" s="38" t="s">
        <v>42</v>
      </c>
      <c r="B41" s="39"/>
      <c r="C41" s="39"/>
      <c r="D41" s="39"/>
      <c r="E41" s="39"/>
      <c r="F41" s="39"/>
      <c r="G41" s="39"/>
      <c r="H41" s="39"/>
      <c r="I41" s="39"/>
      <c r="J41" s="43">
        <f>SUM(J8:J40)</f>
        <v>1574.6634633431036</v>
      </c>
      <c r="K41" s="43"/>
      <c r="L41" s="67"/>
      <c r="O41" s="49"/>
      <c r="P41" s="49"/>
      <c r="Q41" s="49"/>
      <c r="R41" s="49"/>
      <c r="S41" s="49"/>
    </row>
    <row r="42" spans="1:19" s="40" customFormat="1" ht="15.75" x14ac:dyDescent="0.25">
      <c r="J42" s="44"/>
      <c r="K42" s="44"/>
      <c r="L42" s="67"/>
      <c r="O42" s="49"/>
      <c r="P42" s="49"/>
      <c r="Q42" s="49"/>
      <c r="R42" s="49"/>
      <c r="S42" s="49"/>
    </row>
    <row r="43" spans="1:19" s="40" customFormat="1" ht="18" customHeight="1" x14ac:dyDescent="0.25">
      <c r="A43" s="38" t="s">
        <v>31</v>
      </c>
      <c r="B43" s="39"/>
      <c r="C43" s="39"/>
      <c r="D43" s="39"/>
      <c r="E43" s="39"/>
      <c r="F43" s="39"/>
      <c r="G43" s="39"/>
      <c r="H43" s="39"/>
      <c r="I43" s="39"/>
      <c r="J43" s="43">
        <f>D4</f>
        <v>1687.5</v>
      </c>
      <c r="K43" s="43"/>
      <c r="L43" s="67"/>
      <c r="O43" s="49"/>
      <c r="P43" s="49"/>
      <c r="Q43" s="49"/>
      <c r="R43" s="49"/>
      <c r="S43" s="49"/>
    </row>
    <row r="44" spans="1:19" s="40" customFormat="1" ht="15.75" x14ac:dyDescent="0.25">
      <c r="J44" s="44"/>
      <c r="K44" s="44"/>
      <c r="L44" s="67"/>
      <c r="O44" s="49"/>
      <c r="P44" s="49"/>
      <c r="Q44" s="49"/>
      <c r="R44" s="49"/>
      <c r="S44" s="49"/>
    </row>
    <row r="45" spans="1:19" s="40" customFormat="1" ht="18.75" customHeight="1" x14ac:dyDescent="0.25">
      <c r="A45" s="41" t="s">
        <v>43</v>
      </c>
      <c r="B45" s="42"/>
      <c r="C45" s="42"/>
      <c r="D45" s="42"/>
      <c r="E45" s="42"/>
      <c r="F45" s="42"/>
      <c r="G45" s="42"/>
      <c r="H45" s="42"/>
      <c r="I45" s="42"/>
      <c r="J45" s="45">
        <f>J43-J41</f>
        <v>112.83653665689644</v>
      </c>
      <c r="K45" s="45"/>
      <c r="L45" s="67"/>
      <c r="O45" s="49"/>
      <c r="P45" s="49"/>
      <c r="Q45" s="49"/>
      <c r="R45" s="49"/>
      <c r="S45" s="49"/>
    </row>
    <row r="46" spans="1:19" x14ac:dyDescent="0.25">
      <c r="J46" s="22"/>
      <c r="K46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9"/>
  <sheetViews>
    <sheetView topLeftCell="A4" workbookViewId="0">
      <selection activeCell="H16" sqref="H16"/>
    </sheetView>
  </sheetViews>
  <sheetFormatPr baseColWidth="10" defaultColWidth="11.5703125" defaultRowHeight="15" x14ac:dyDescent="0.25"/>
  <cols>
    <col min="1" max="1" width="48" style="23" customWidth="1"/>
    <col min="2" max="2" width="7.85546875" style="23" customWidth="1"/>
    <col min="3" max="3" width="11.140625" style="23" customWidth="1"/>
    <col min="4" max="4" width="11.28515625" style="23" customWidth="1"/>
    <col min="5" max="5" width="5.42578125" style="23" customWidth="1"/>
    <col min="6" max="9" width="11.28515625" style="23" customWidth="1"/>
    <col min="10" max="10" width="9.42578125" style="23" customWidth="1"/>
    <col min="11" max="11" width="6.7109375" style="23" customWidth="1"/>
    <col min="12" max="12" width="8.42578125" style="23" customWidth="1"/>
    <col min="13" max="13" width="7.140625" style="23" customWidth="1"/>
    <col min="14" max="14" width="6.5703125" style="23" customWidth="1"/>
    <col min="15" max="17" width="6.5703125" style="49" customWidth="1"/>
    <col min="18" max="19" width="6.7109375" style="49" customWidth="1"/>
    <col min="20" max="20" width="8.140625" style="23" customWidth="1"/>
    <col min="21" max="16384" width="11.5703125" style="23"/>
  </cols>
  <sheetData>
    <row r="1" spans="1:20" ht="26.25" x14ac:dyDescent="0.4">
      <c r="A1" s="29" t="s">
        <v>203</v>
      </c>
      <c r="H1" s="153"/>
    </row>
    <row r="2" spans="1:20" x14ac:dyDescent="0.25">
      <c r="A2" t="s">
        <v>200</v>
      </c>
    </row>
    <row r="3" spans="1:20" x14ac:dyDescent="0.25">
      <c r="J3" s="127"/>
    </row>
    <row r="4" spans="1:20" x14ac:dyDescent="0.25">
      <c r="A4" s="31" t="s">
        <v>9</v>
      </c>
      <c r="B4" s="23">
        <v>100</v>
      </c>
      <c r="D4" s="32">
        <v>1590</v>
      </c>
      <c r="E4" s="32"/>
      <c r="F4" s="23" t="s">
        <v>10</v>
      </c>
      <c r="J4" s="127"/>
    </row>
    <row r="5" spans="1:20" x14ac:dyDescent="0.25">
      <c r="A5" s="31"/>
      <c r="D5" s="32"/>
      <c r="E5" s="32"/>
      <c r="J5" s="127"/>
    </row>
    <row r="6" spans="1:20" ht="45.75" thickBot="1" x14ac:dyDescent="0.35">
      <c r="A6" s="329" t="s">
        <v>19</v>
      </c>
      <c r="B6" s="56"/>
      <c r="C6" s="61" t="s">
        <v>34</v>
      </c>
      <c r="D6" s="57" t="s">
        <v>21</v>
      </c>
      <c r="E6" s="61" t="s">
        <v>124</v>
      </c>
      <c r="F6" s="58" t="s">
        <v>44</v>
      </c>
      <c r="G6" s="57" t="s">
        <v>1</v>
      </c>
      <c r="H6" s="57" t="s">
        <v>23</v>
      </c>
      <c r="I6" s="57" t="s">
        <v>25</v>
      </c>
      <c r="J6" s="61" t="s">
        <v>45</v>
      </c>
      <c r="K6" s="122"/>
      <c r="L6" s="117" t="s">
        <v>50</v>
      </c>
      <c r="M6" s="118" t="s">
        <v>51</v>
      </c>
      <c r="N6" s="118" t="s">
        <v>52</v>
      </c>
      <c r="O6" s="72" t="s">
        <v>25</v>
      </c>
      <c r="P6" s="72" t="s">
        <v>46</v>
      </c>
      <c r="Q6" s="72" t="s">
        <v>47</v>
      </c>
      <c r="R6" s="125" t="s">
        <v>69</v>
      </c>
      <c r="S6" s="125" t="s">
        <v>69</v>
      </c>
      <c r="T6" s="125" t="s">
        <v>72</v>
      </c>
    </row>
    <row r="7" spans="1:20" ht="16.5" thickTop="1" thickBot="1" x14ac:dyDescent="0.3">
      <c r="A7" s="330"/>
      <c r="B7" s="59" t="s">
        <v>7</v>
      </c>
      <c r="C7" s="62"/>
      <c r="D7" s="59"/>
      <c r="E7" s="59"/>
      <c r="F7" s="59" t="s">
        <v>22</v>
      </c>
      <c r="G7" s="59" t="s">
        <v>41</v>
      </c>
      <c r="H7" s="59" t="s">
        <v>24</v>
      </c>
      <c r="I7" s="59" t="s">
        <v>26</v>
      </c>
      <c r="J7" s="60"/>
      <c r="K7" s="119" t="s">
        <v>67</v>
      </c>
      <c r="L7" s="118" t="s">
        <v>53</v>
      </c>
      <c r="M7" s="73"/>
      <c r="N7" s="73"/>
      <c r="O7" s="74"/>
      <c r="P7" s="74"/>
      <c r="Q7" s="74"/>
      <c r="R7" s="131" t="s">
        <v>70</v>
      </c>
      <c r="S7" s="131" t="s">
        <v>71</v>
      </c>
      <c r="T7" s="131" t="s">
        <v>74</v>
      </c>
    </row>
    <row r="8" spans="1:20" s="79" customFormat="1" x14ac:dyDescent="0.25">
      <c r="A8" s="170" t="s">
        <v>100</v>
      </c>
      <c r="B8" s="314">
        <v>12</v>
      </c>
      <c r="C8" s="97">
        <f>(Satser!$B$7+(B8*Satser!$B$8))</f>
        <v>60</v>
      </c>
      <c r="D8" s="316">
        <v>107</v>
      </c>
      <c r="E8" s="316">
        <v>8</v>
      </c>
      <c r="F8" s="97">
        <f>C8*Satser!$B$9</f>
        <v>210</v>
      </c>
      <c r="G8" s="97">
        <f>Satser!$B$12*B8+ IF(D8&gt;20 &amp; D8&lt;51, 1,0) + IF(D8&gt;20, IF(D8&gt;50,Satser!$B$13*B8*30,Satser!$B$13*B8*(D8-20)), 0)+ IF(D8&gt;50, IF(D8&gt;100,Satser!$B$14*B8*50,Satser!$B$14*B8*(D8-50)), 0) + IF(D8&gt;100, Satser!$B$15*B8*(D8-100), 0)</f>
        <v>234.3</v>
      </c>
      <c r="H8" s="16">
        <f>D8*E8*Satser!$B$41</f>
        <v>1284</v>
      </c>
      <c r="I8" s="52">
        <f>Satser!$B$22*E8</f>
        <v>8</v>
      </c>
      <c r="J8" s="96">
        <f t="shared" ref="J8:J13" si="0">SUM(F8:I8)*T8</f>
        <v>451.71176470588239</v>
      </c>
      <c r="K8" s="327">
        <f t="shared" ref="K8:K13" si="1">L8-J8</f>
        <v>-237.21176470588239</v>
      </c>
      <c r="L8" s="168">
        <f>SUM(M8:Q8)</f>
        <v>214.5</v>
      </c>
      <c r="M8" s="108">
        <v>22.5</v>
      </c>
      <c r="N8" s="108">
        <v>0</v>
      </c>
      <c r="O8" s="108">
        <v>0</v>
      </c>
      <c r="P8" s="108">
        <v>192</v>
      </c>
      <c r="Q8" s="108">
        <v>0</v>
      </c>
      <c r="R8" s="133">
        <v>802</v>
      </c>
      <c r="S8" s="133">
        <f>L8+R8</f>
        <v>1016.5</v>
      </c>
      <c r="T8" s="130">
        <f>L8/(S8-P8-Q8)</f>
        <v>0.26015767131594908</v>
      </c>
    </row>
    <row r="9" spans="1:20" s="79" customFormat="1" x14ac:dyDescent="0.25">
      <c r="A9" s="170" t="s">
        <v>101</v>
      </c>
      <c r="B9" s="314">
        <v>12</v>
      </c>
      <c r="C9" s="97">
        <f>(Satser!$B$7+(B9*Satser!$B$8))</f>
        <v>60</v>
      </c>
      <c r="D9" s="316">
        <v>73</v>
      </c>
      <c r="E9" s="316">
        <v>8</v>
      </c>
      <c r="F9" s="97">
        <f>C9*Satser!$B$9</f>
        <v>210</v>
      </c>
      <c r="G9" s="97">
        <f>Satser!$B$12*B9+ IF(D9&gt;20 &amp; D9&lt;51, 1,0) + IF(D9&gt;20, IF(D9&gt;50,Satser!$B$13*B9*30,Satser!$B$13*B9*(D9-20)), 0)+ IF(D9&gt;50, IF(D9&gt;100,Satser!$B$14*B9*50,Satser!$B$14*B9*(D9-50)), 0) + IF(D9&gt;100, Satser!$B$15*B9*(D9-100), 0)</f>
        <v>195.6</v>
      </c>
      <c r="H9" s="16">
        <f>D9*E9*Satser!$B$41</f>
        <v>876</v>
      </c>
      <c r="I9" s="52">
        <f>Satser!$B$22*E9</f>
        <v>8</v>
      </c>
      <c r="J9" s="96">
        <f t="shared" si="0"/>
        <v>318.48421052631579</v>
      </c>
      <c r="K9" s="120">
        <f t="shared" si="1"/>
        <v>-74.484210526315792</v>
      </c>
      <c r="L9" s="168">
        <f t="shared" ref="L9:L13" si="2">SUM(M9:Q9)</f>
        <v>244</v>
      </c>
      <c r="M9" s="108">
        <v>25.5</v>
      </c>
      <c r="N9" s="108">
        <v>41.5</v>
      </c>
      <c r="O9" s="108">
        <v>0</v>
      </c>
      <c r="P9" s="108">
        <v>72</v>
      </c>
      <c r="Q9" s="108">
        <v>105</v>
      </c>
      <c r="R9" s="133">
        <v>921</v>
      </c>
      <c r="S9" s="133">
        <f t="shared" ref="S9:S13" si="3">L9+R9</f>
        <v>1165</v>
      </c>
      <c r="T9" s="130">
        <f t="shared" ref="T9:T13" si="4">L9/(S9-P9-Q9)</f>
        <v>0.24696356275303644</v>
      </c>
    </row>
    <row r="10" spans="1:20" s="79" customFormat="1" x14ac:dyDescent="0.25">
      <c r="A10" s="170" t="s">
        <v>114</v>
      </c>
      <c r="B10" s="314">
        <v>12</v>
      </c>
      <c r="C10" s="97">
        <f>(Satser!$B$7+(B10*Satser!$B$8))</f>
        <v>60</v>
      </c>
      <c r="D10" s="316">
        <v>107</v>
      </c>
      <c r="E10" s="316"/>
      <c r="F10" s="97">
        <f>C10*Satser!$B$9</f>
        <v>210</v>
      </c>
      <c r="G10" s="97">
        <f>Satser!$B$12*B10+ IF(D10&gt;20 &amp; D10&lt;51, 1,0) + IF(D10&gt;20, IF(D10&gt;50,Satser!$B$13*B10*30,Satser!$B$13*B10*(D10-20)), 0)+ IF(D10&gt;50, IF(D10&gt;100,Satser!$B$14*B10*50,Satser!$B$14*B10*(D10-50)), 0) + IF(D10&gt;100, Satser!$B$15*B10*(D10-100), 0)</f>
        <v>234.3</v>
      </c>
      <c r="H10" s="16">
        <f>D10*E10*Satser!$B$41</f>
        <v>0</v>
      </c>
      <c r="I10" s="52">
        <f>Satser!$B$22*E10</f>
        <v>0</v>
      </c>
      <c r="J10" s="96">
        <f t="shared" si="0"/>
        <v>444.3</v>
      </c>
      <c r="K10" s="327">
        <f t="shared" si="1"/>
        <v>-402.8</v>
      </c>
      <c r="L10" s="168">
        <f t="shared" si="2"/>
        <v>41.5</v>
      </c>
      <c r="M10" s="108">
        <v>0</v>
      </c>
      <c r="N10" s="108">
        <v>41.5</v>
      </c>
      <c r="O10" s="108">
        <v>0</v>
      </c>
      <c r="P10" s="108">
        <v>0</v>
      </c>
      <c r="Q10" s="108">
        <v>0</v>
      </c>
      <c r="R10" s="133">
        <v>0</v>
      </c>
      <c r="S10" s="133">
        <f t="shared" si="3"/>
        <v>41.5</v>
      </c>
      <c r="T10" s="130">
        <f t="shared" si="4"/>
        <v>1</v>
      </c>
    </row>
    <row r="11" spans="1:20" s="79" customFormat="1" x14ac:dyDescent="0.25">
      <c r="A11" s="170" t="s">
        <v>102</v>
      </c>
      <c r="B11" s="314">
        <v>7.5</v>
      </c>
      <c r="C11" s="97">
        <f>(Satser!$B$7+(B11*Satser!$B$8))</f>
        <v>42</v>
      </c>
      <c r="D11" s="316">
        <v>143</v>
      </c>
      <c r="E11" s="316"/>
      <c r="F11" s="97">
        <f>C11*Satser!$B$9</f>
        <v>147</v>
      </c>
      <c r="G11" s="97">
        <f>Satser!$B$12*B11+ IF(D11&gt;20 &amp; D11&lt;51, 1,0) + IF(D11&gt;20, IF(D11&gt;50,Satser!$B$13*B11*30,Satser!$B$13*B11*(D11-20)), 0)+ IF(D11&gt;50, IF(D11&gt;100,Satser!$B$14*B11*50,Satser!$B$14*B11*(D11-50)), 0) + IF(D11&gt;100, Satser!$B$15*B11*(D11-100), 0)</f>
        <v>166.6875</v>
      </c>
      <c r="H11" s="16">
        <f>D11*E11*Satser!$B$41</f>
        <v>0</v>
      </c>
      <c r="I11" s="52">
        <f>Satser!$B$22*E11</f>
        <v>0</v>
      </c>
      <c r="J11" s="96">
        <f t="shared" si="0"/>
        <v>10.675320086464916</v>
      </c>
      <c r="K11" s="120">
        <f t="shared" si="1"/>
        <v>66.074679913535078</v>
      </c>
      <c r="L11" s="168">
        <f t="shared" si="2"/>
        <v>76.75</v>
      </c>
      <c r="M11" s="108">
        <v>28</v>
      </c>
      <c r="N11" s="108">
        <v>37.5</v>
      </c>
      <c r="O11" s="108">
        <v>11.25</v>
      </c>
      <c r="P11" s="108">
        <v>0</v>
      </c>
      <c r="Q11" s="108">
        <v>0</v>
      </c>
      <c r="R11" s="133">
        <v>2178.5</v>
      </c>
      <c r="S11" s="133">
        <f t="shared" si="3"/>
        <v>2255.25</v>
      </c>
      <c r="T11" s="130">
        <f t="shared" si="4"/>
        <v>3.4031703802239223E-2</v>
      </c>
    </row>
    <row r="12" spans="1:20" s="79" customFormat="1" x14ac:dyDescent="0.25">
      <c r="A12" s="170" t="s">
        <v>103</v>
      </c>
      <c r="B12" s="314">
        <v>10</v>
      </c>
      <c r="C12" s="97">
        <f>(Satser!$B$7+(B12*Satser!$B$8))</f>
        <v>52</v>
      </c>
      <c r="D12" s="316">
        <v>111</v>
      </c>
      <c r="E12" s="316"/>
      <c r="F12" s="97">
        <f>C12*Satser!$B$9</f>
        <v>182</v>
      </c>
      <c r="G12" s="97">
        <f>Satser!$B$12*B12+ IF(D12&gt;20 &amp; D12&lt;51, 1,0) + IF(D12&gt;20, IF(D12&gt;50,Satser!$B$13*B12*30,Satser!$B$13*B12*(D12-20)), 0)+ IF(D12&gt;50, IF(D12&gt;100,Satser!$B$14*B12*50,Satser!$B$14*B12*(D12-50)), 0) + IF(D12&gt;100, Satser!$B$15*B12*(D12-100), 0)</f>
        <v>198.25</v>
      </c>
      <c r="H12" s="16">
        <f>D12*E12*Satser!$B$41</f>
        <v>0</v>
      </c>
      <c r="I12" s="52">
        <f>Satser!$B$22*E12</f>
        <v>0</v>
      </c>
      <c r="J12" s="96">
        <f t="shared" si="0"/>
        <v>22.134418351618461</v>
      </c>
      <c r="K12" s="120">
        <f t="shared" si="1"/>
        <v>138.36558164838155</v>
      </c>
      <c r="L12" s="168">
        <f t="shared" si="2"/>
        <v>160.5</v>
      </c>
      <c r="M12" s="108">
        <v>7.5</v>
      </c>
      <c r="N12" s="108">
        <v>105</v>
      </c>
      <c r="O12" s="108">
        <v>48</v>
      </c>
      <c r="P12" s="109">
        <v>0</v>
      </c>
      <c r="Q12" s="108">
        <v>0</v>
      </c>
      <c r="R12" s="133">
        <v>2596.75</v>
      </c>
      <c r="S12" s="133">
        <f t="shared" si="3"/>
        <v>2757.25</v>
      </c>
      <c r="T12" s="130">
        <f t="shared" si="4"/>
        <v>5.8210173179798715E-2</v>
      </c>
    </row>
    <row r="13" spans="1:20" x14ac:dyDescent="0.25">
      <c r="A13" s="171" t="s">
        <v>104</v>
      </c>
      <c r="B13" s="315">
        <v>15</v>
      </c>
      <c r="C13" s="97">
        <f>(Satser!$B$7+(B13*Satser!$B$8))</f>
        <v>72</v>
      </c>
      <c r="D13" s="317">
        <v>73</v>
      </c>
      <c r="E13" s="317"/>
      <c r="F13" s="97">
        <f>C13*Satser!$B$9</f>
        <v>252</v>
      </c>
      <c r="G13" s="97">
        <f>Satser!$B$12*B13+ IF(D13&gt;20 &amp; D13&lt;51, 1,0) + IF(D13&gt;20, IF(D13&gt;50,Satser!$B$13*B13*30,Satser!$B$13*B13*(D13-20)), 0)+ IF(D13&gt;50, IF(D13&gt;100,Satser!$B$14*B13*50,Satser!$B$14*B13*(D13-50)), 0) + IF(D13&gt;100, Satser!$B$15*B13*(D13-100), 0)</f>
        <v>244.5</v>
      </c>
      <c r="H13" s="16">
        <f>D13*E13*Satser!$B$41</f>
        <v>0</v>
      </c>
      <c r="I13" s="52">
        <f>Satser!$B$22*E13</f>
        <v>0</v>
      </c>
      <c r="J13" s="96">
        <f t="shared" si="0"/>
        <v>65.758213552361397</v>
      </c>
      <c r="K13" s="120">
        <f t="shared" si="1"/>
        <v>63.241786447638603</v>
      </c>
      <c r="L13" s="168">
        <f t="shared" si="2"/>
        <v>129</v>
      </c>
      <c r="M13" s="108">
        <v>0</v>
      </c>
      <c r="N13" s="108">
        <v>87</v>
      </c>
      <c r="O13" s="110">
        <v>42</v>
      </c>
      <c r="P13" s="110">
        <v>0</v>
      </c>
      <c r="Q13" s="110">
        <v>0</v>
      </c>
      <c r="R13" s="101">
        <v>845</v>
      </c>
      <c r="S13" s="101">
        <f t="shared" si="3"/>
        <v>974</v>
      </c>
      <c r="T13" s="130">
        <f t="shared" si="4"/>
        <v>0.13244353182751539</v>
      </c>
    </row>
    <row r="14" spans="1:20" s="79" customFormat="1" x14ac:dyDescent="0.25">
      <c r="A14" s="48"/>
      <c r="B14" s="112"/>
      <c r="C14" s="97">
        <f>(Satser!$B$7+(B14*Satser!$B$8))</f>
        <v>12</v>
      </c>
      <c r="D14" s="21"/>
      <c r="E14" s="21"/>
      <c r="F14" s="21"/>
      <c r="G14" s="21"/>
      <c r="H14" s="21"/>
      <c r="I14" s="21"/>
      <c r="J14" s="86"/>
      <c r="K14" s="86"/>
      <c r="L14" s="335">
        <f>SUM(L8:L13)</f>
        <v>866.25</v>
      </c>
      <c r="M14" s="335">
        <f t="shared" ref="M14:Q14" si="5">SUM(M8:M13)</f>
        <v>83.5</v>
      </c>
      <c r="N14" s="335">
        <f t="shared" si="5"/>
        <v>312.5</v>
      </c>
      <c r="O14" s="335">
        <f t="shared" si="5"/>
        <v>101.25</v>
      </c>
      <c r="P14" s="335">
        <f t="shared" si="5"/>
        <v>264</v>
      </c>
      <c r="Q14" s="335">
        <f t="shared" si="5"/>
        <v>105</v>
      </c>
      <c r="R14" s="85"/>
      <c r="S14" s="85"/>
    </row>
    <row r="15" spans="1:20" s="102" customFormat="1" x14ac:dyDescent="0.25">
      <c r="A15" s="107" t="s">
        <v>228</v>
      </c>
      <c r="B15" s="344">
        <v>12</v>
      </c>
      <c r="C15" s="97">
        <f>(Satser!$B$7+(B15*Satser!$B$8))</f>
        <v>60</v>
      </c>
      <c r="D15" s="313">
        <v>20</v>
      </c>
      <c r="E15" s="313">
        <v>8</v>
      </c>
      <c r="F15" s="107"/>
      <c r="G15" s="107"/>
      <c r="H15" s="113">
        <f>D15*E15*Satser!$B$41</f>
        <v>240</v>
      </c>
      <c r="J15" s="107"/>
      <c r="K15" s="123"/>
      <c r="N15" s="197"/>
      <c r="O15" s="110"/>
      <c r="Q15" s="110"/>
      <c r="R15" s="101"/>
      <c r="S15" s="111"/>
    </row>
    <row r="16" spans="1:20" s="102" customFormat="1" x14ac:dyDescent="0.25">
      <c r="A16" s="107" t="s">
        <v>229</v>
      </c>
      <c r="B16" s="344">
        <v>12</v>
      </c>
      <c r="C16" s="97">
        <f>(Satser!$B$7+(B16*Satser!$B$8))</f>
        <v>60</v>
      </c>
      <c r="D16" s="313">
        <v>20</v>
      </c>
      <c r="E16" s="346" t="s">
        <v>235</v>
      </c>
      <c r="F16" s="107"/>
      <c r="G16" s="107"/>
      <c r="H16" s="113">
        <f>D16*Satser!$B$43</f>
        <v>150</v>
      </c>
      <c r="J16" s="107"/>
      <c r="K16" s="123"/>
      <c r="N16" s="197"/>
      <c r="O16" s="110"/>
      <c r="Q16" s="110"/>
      <c r="R16" s="101"/>
      <c r="S16" s="111"/>
    </row>
    <row r="17" spans="1:19" x14ac:dyDescent="0.25">
      <c r="A17" s="343" t="s">
        <v>234</v>
      </c>
      <c r="B17" s="345">
        <v>12</v>
      </c>
      <c r="C17" s="97">
        <f>(Satser!$B$7+(B17*Satser!$B$8))</f>
        <v>60</v>
      </c>
      <c r="D17" s="107"/>
      <c r="E17" s="107"/>
      <c r="F17" s="97"/>
      <c r="G17" s="107"/>
      <c r="H17" s="113">
        <f>C17*Satser!B46</f>
        <v>120</v>
      </c>
      <c r="I17" s="107"/>
      <c r="J17" s="114"/>
      <c r="K17" s="86"/>
      <c r="L17" s="66"/>
      <c r="N17" s="196"/>
      <c r="O17" s="77"/>
      <c r="P17" s="185"/>
      <c r="Q17" s="77"/>
    </row>
    <row r="18" spans="1:19" x14ac:dyDescent="0.25">
      <c r="A18" s="343"/>
      <c r="B18" s="107"/>
      <c r="C18" s="97"/>
      <c r="D18" s="107"/>
      <c r="E18" s="107"/>
      <c r="F18" s="107"/>
      <c r="G18" s="107"/>
      <c r="H18" s="107"/>
      <c r="I18" s="107"/>
      <c r="J18" s="114"/>
      <c r="K18" s="86"/>
      <c r="L18" s="66"/>
      <c r="N18" s="196"/>
      <c r="O18" s="77"/>
      <c r="P18" s="185"/>
      <c r="Q18" s="77"/>
    </row>
    <row r="19" spans="1:19" ht="34.9" customHeight="1" x14ac:dyDescent="0.25">
      <c r="A19" s="31" t="s">
        <v>28</v>
      </c>
      <c r="B19" s="24" t="s">
        <v>7</v>
      </c>
      <c r="C19" s="189" t="s">
        <v>115</v>
      </c>
      <c r="D19" s="189" t="s">
        <v>120</v>
      </c>
      <c r="E19" s="189"/>
      <c r="J19" s="22"/>
      <c r="K19" s="22"/>
      <c r="L19" s="66"/>
      <c r="M19" s="24"/>
      <c r="N19" s="196"/>
      <c r="O19" s="77"/>
      <c r="Q19" s="77"/>
    </row>
    <row r="20" spans="1:19" s="79" customFormat="1" x14ac:dyDescent="0.25">
      <c r="A20" s="102" t="s">
        <v>5</v>
      </c>
      <c r="B20" s="318"/>
      <c r="C20" s="319"/>
      <c r="D20" s="318"/>
      <c r="E20" s="210"/>
      <c r="F20" s="102"/>
      <c r="G20" s="102"/>
      <c r="H20" s="102"/>
      <c r="I20" s="102"/>
      <c r="J20" s="114">
        <f>B20+(C20*D20)</f>
        <v>0</v>
      </c>
      <c r="K20" s="96"/>
      <c r="L20" s="102"/>
      <c r="M20" s="109"/>
      <c r="N20" s="187"/>
      <c r="O20" s="110"/>
      <c r="Q20" s="87"/>
      <c r="R20" s="85"/>
      <c r="S20" s="85"/>
    </row>
    <row r="21" spans="1:19" s="79" customFormat="1" x14ac:dyDescent="0.25">
      <c r="A21" s="137" t="s">
        <v>6</v>
      </c>
      <c r="B21" s="320"/>
      <c r="C21" s="321"/>
      <c r="D21" s="320"/>
      <c r="E21" s="211"/>
      <c r="F21" s="138"/>
      <c r="G21" s="138"/>
      <c r="H21" s="138"/>
      <c r="I21" s="138"/>
      <c r="J21" s="128">
        <f>B21+(C21*D21)</f>
        <v>0</v>
      </c>
      <c r="K21" s="100"/>
      <c r="L21" s="102"/>
      <c r="M21" s="109"/>
      <c r="N21" s="108"/>
      <c r="O21" s="110"/>
      <c r="Q21" s="87"/>
      <c r="R21" s="85"/>
      <c r="S21" s="85"/>
    </row>
    <row r="22" spans="1:19" x14ac:dyDescent="0.25">
      <c r="J22" s="22"/>
      <c r="K22" s="22"/>
      <c r="L22" s="102"/>
      <c r="M22" s="102"/>
      <c r="N22" s="102"/>
      <c r="O22" s="101"/>
      <c r="P22" s="186"/>
    </row>
    <row r="23" spans="1:19" ht="18" thickBot="1" x14ac:dyDescent="0.35">
      <c r="A23" s="47" t="s">
        <v>27</v>
      </c>
      <c r="B23" s="34"/>
      <c r="C23" s="34"/>
      <c r="D23" s="34"/>
      <c r="E23" s="34"/>
      <c r="F23" s="34"/>
      <c r="J23" s="22"/>
      <c r="K23" s="22"/>
      <c r="L23" s="102"/>
      <c r="M23" s="102"/>
      <c r="N23" s="102"/>
      <c r="O23" s="101"/>
      <c r="P23" s="186"/>
    </row>
    <row r="24" spans="1:19" ht="15.75" thickTop="1" x14ac:dyDescent="0.25">
      <c r="A24" s="35" t="s">
        <v>32</v>
      </c>
      <c r="B24" s="19">
        <v>0.28249999999999997</v>
      </c>
      <c r="C24" s="26"/>
      <c r="J24" s="22">
        <f>D4*B24</f>
        <v>449.17499999999995</v>
      </c>
      <c r="K24" s="22"/>
      <c r="L24" s="66"/>
      <c r="P24" s="186"/>
    </row>
    <row r="25" spans="1:19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81"/>
      <c r="K25" s="22"/>
      <c r="L25" s="66"/>
      <c r="P25" s="186"/>
    </row>
    <row r="26" spans="1:19" x14ac:dyDescent="0.25">
      <c r="A26" s="105"/>
      <c r="B26" s="105"/>
      <c r="C26" s="105"/>
      <c r="D26" s="105"/>
      <c r="E26" s="105"/>
      <c r="F26" s="105"/>
      <c r="G26" s="105"/>
      <c r="H26" s="105"/>
      <c r="I26" s="105"/>
      <c r="J26" s="81"/>
      <c r="K26" s="22"/>
      <c r="L26" s="66"/>
      <c r="P26" s="186"/>
    </row>
    <row r="27" spans="1:19" x14ac:dyDescent="0.25">
      <c r="A27" s="105"/>
      <c r="B27" s="105"/>
      <c r="C27" s="105"/>
      <c r="D27" s="105"/>
      <c r="E27" s="105"/>
      <c r="F27" s="105"/>
      <c r="G27" s="105"/>
      <c r="H27" s="105"/>
      <c r="I27" s="105"/>
      <c r="J27" s="81"/>
      <c r="K27" s="22"/>
      <c r="L27" s="66"/>
      <c r="P27" s="186"/>
    </row>
    <row r="28" spans="1:19" ht="18" thickBot="1" x14ac:dyDescent="0.35">
      <c r="A28" s="47" t="s">
        <v>48</v>
      </c>
      <c r="B28" s="34"/>
      <c r="C28" s="34"/>
      <c r="J28" s="53"/>
      <c r="K28" s="22"/>
      <c r="L28" s="66"/>
    </row>
    <row r="29" spans="1:19" ht="15.75" thickTop="1" x14ac:dyDescent="0.25">
      <c r="A29" s="35" t="s">
        <v>33</v>
      </c>
      <c r="B29" s="20">
        <v>0.05</v>
      </c>
      <c r="C29" s="27"/>
      <c r="D29" s="30"/>
      <c r="E29" s="30"/>
      <c r="J29" s="53">
        <f>B29*D4</f>
        <v>79.5</v>
      </c>
      <c r="K29" s="81"/>
      <c r="L29" s="66"/>
    </row>
    <row r="30" spans="1:19" s="25" customFormat="1" x14ac:dyDescent="0.25">
      <c r="A30" s="148"/>
      <c r="B30" s="149"/>
      <c r="C30" s="149"/>
      <c r="D30" s="105"/>
      <c r="E30" s="105"/>
      <c r="F30" s="105"/>
      <c r="G30" s="105"/>
      <c r="H30" s="105"/>
      <c r="I30" s="105"/>
      <c r="J30" s="53"/>
      <c r="K30" s="78"/>
      <c r="L30" s="66"/>
      <c r="O30" s="49"/>
      <c r="P30" s="49"/>
      <c r="Q30" s="49"/>
      <c r="R30" s="49"/>
      <c r="S30" s="49"/>
    </row>
    <row r="31" spans="1:19" x14ac:dyDescent="0.25">
      <c r="A31" s="31"/>
      <c r="B31" s="27"/>
      <c r="C31" s="27"/>
      <c r="J31" s="53"/>
      <c r="K31" s="22"/>
      <c r="L31" s="66"/>
    </row>
    <row r="32" spans="1:19" ht="18" thickBot="1" x14ac:dyDescent="0.35">
      <c r="A32" s="47" t="s">
        <v>20</v>
      </c>
      <c r="J32" s="53"/>
      <c r="K32" s="22"/>
      <c r="L32" s="66"/>
    </row>
    <row r="33" spans="1:19" ht="15.75" thickTop="1" x14ac:dyDescent="0.25">
      <c r="A33" s="35" t="s">
        <v>4</v>
      </c>
      <c r="B33" s="20">
        <v>0.05</v>
      </c>
      <c r="C33" s="27"/>
      <c r="J33" s="22">
        <f>D4*B33</f>
        <v>79.5</v>
      </c>
      <c r="K33" s="22"/>
      <c r="L33" s="66"/>
    </row>
    <row r="34" spans="1:19" x14ac:dyDescent="0.25">
      <c r="A34" s="36" t="s">
        <v>35</v>
      </c>
      <c r="B34" s="28"/>
      <c r="C34" s="28"/>
      <c r="D34" s="25" t="s">
        <v>88</v>
      </c>
      <c r="E34" s="25"/>
      <c r="I34" s="340" t="s">
        <v>226</v>
      </c>
      <c r="J34" s="22"/>
      <c r="K34" s="22"/>
      <c r="L34" s="157" t="s">
        <v>89</v>
      </c>
    </row>
    <row r="35" spans="1:19" x14ac:dyDescent="0.25">
      <c r="A35" s="96" t="s">
        <v>107</v>
      </c>
      <c r="B35" s="326">
        <v>12</v>
      </c>
      <c r="C35" s="149"/>
      <c r="D35" s="324">
        <v>73</v>
      </c>
      <c r="E35" s="147"/>
      <c r="G35" s="105"/>
      <c r="H35" s="105"/>
      <c r="I35" s="340" t="s">
        <v>227</v>
      </c>
      <c r="J35" s="325">
        <f>Satser!$B$63+B35+(D35*Satser!$B$65)</f>
        <v>105</v>
      </c>
      <c r="K35" s="48"/>
      <c r="L35" s="102">
        <f>Q9</f>
        <v>105</v>
      </c>
      <c r="M35" s="102" t="s">
        <v>106</v>
      </c>
    </row>
    <row r="36" spans="1:19" x14ac:dyDescent="0.25">
      <c r="A36" s="148" t="s">
        <v>108</v>
      </c>
      <c r="B36" s="80"/>
      <c r="C36" s="80"/>
      <c r="D36" s="55"/>
      <c r="E36" s="55"/>
      <c r="F36" s="79"/>
      <c r="G36" s="79"/>
      <c r="H36" s="79"/>
      <c r="I36" s="79"/>
      <c r="J36" s="81">
        <f>50+20</f>
        <v>70</v>
      </c>
      <c r="K36" s="48"/>
      <c r="L36" s="102"/>
    </row>
    <row r="37" spans="1:19" x14ac:dyDescent="0.25">
      <c r="A37" s="37" t="s">
        <v>36</v>
      </c>
      <c r="B37" s="28"/>
      <c r="C37" s="28"/>
      <c r="D37" s="25"/>
      <c r="E37" s="25"/>
      <c r="G37" s="30"/>
      <c r="J37" s="22"/>
      <c r="K37" s="22"/>
      <c r="M37" s="164"/>
    </row>
    <row r="38" spans="1:19" x14ac:dyDescent="0.25">
      <c r="A38" s="25" t="s">
        <v>37</v>
      </c>
      <c r="B38" s="28"/>
      <c r="C38" s="28"/>
      <c r="D38" s="25"/>
      <c r="E38" s="25"/>
      <c r="J38" s="22"/>
      <c r="K38" s="22"/>
      <c r="M38" s="155"/>
    </row>
    <row r="39" spans="1:19" x14ac:dyDescent="0.25">
      <c r="A39" s="25" t="s">
        <v>38</v>
      </c>
      <c r="B39" s="28"/>
      <c r="C39" s="28"/>
      <c r="D39" s="25"/>
      <c r="E39" s="25"/>
      <c r="J39" s="22"/>
      <c r="K39" s="22"/>
      <c r="L39" s="66"/>
    </row>
    <row r="40" spans="1:19" x14ac:dyDescent="0.25">
      <c r="A40" s="25" t="s">
        <v>39</v>
      </c>
      <c r="B40" s="28"/>
      <c r="C40" s="28"/>
      <c r="D40" s="25"/>
      <c r="E40" s="25"/>
      <c r="J40" s="22"/>
      <c r="K40" s="22"/>
      <c r="L40" s="66"/>
    </row>
    <row r="41" spans="1:19" x14ac:dyDescent="0.25">
      <c r="A41" s="25" t="s">
        <v>40</v>
      </c>
      <c r="B41" s="28"/>
      <c r="C41" s="28"/>
      <c r="D41" s="25"/>
      <c r="E41" s="25"/>
      <c r="J41" s="22"/>
      <c r="K41" s="22"/>
      <c r="L41" s="66"/>
    </row>
    <row r="42" spans="1:19" x14ac:dyDescent="0.25">
      <c r="A42" s="105"/>
      <c r="B42" s="149"/>
      <c r="C42" s="149"/>
      <c r="D42" s="105"/>
      <c r="E42" s="105"/>
      <c r="F42" s="105"/>
      <c r="G42" s="105"/>
      <c r="H42" s="105"/>
      <c r="I42" s="105"/>
      <c r="J42" s="81"/>
      <c r="K42" s="48"/>
      <c r="L42" s="66"/>
    </row>
    <row r="43" spans="1:19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81"/>
      <c r="K43" s="22"/>
      <c r="L43" s="66"/>
    </row>
    <row r="44" spans="1:19" s="40" customFormat="1" ht="17.25" customHeight="1" x14ac:dyDescent="0.25">
      <c r="A44" s="38" t="s">
        <v>42</v>
      </c>
      <c r="B44" s="39"/>
      <c r="C44" s="39"/>
      <c r="D44" s="39"/>
      <c r="E44" s="39"/>
      <c r="F44" s="39"/>
      <c r="G44" s="39"/>
      <c r="H44" s="39"/>
      <c r="I44" s="39"/>
      <c r="J44" s="43">
        <f>SUM(J8:J43)</f>
        <v>2096.2389272226428</v>
      </c>
      <c r="K44" s="43"/>
      <c r="L44" s="67"/>
      <c r="O44" s="49"/>
      <c r="P44" s="49"/>
      <c r="Q44" s="49"/>
      <c r="R44" s="49"/>
      <c r="S44" s="49"/>
    </row>
    <row r="45" spans="1:19" s="40" customFormat="1" ht="15.75" x14ac:dyDescent="0.25">
      <c r="J45" s="44"/>
      <c r="K45" s="44"/>
      <c r="L45" s="67"/>
      <c r="O45" s="49"/>
      <c r="P45" s="49"/>
      <c r="Q45" s="49"/>
      <c r="R45" s="49"/>
      <c r="S45" s="49"/>
    </row>
    <row r="46" spans="1:19" s="40" customFormat="1" ht="18" customHeight="1" x14ac:dyDescent="0.25">
      <c r="A46" s="38" t="s">
        <v>31</v>
      </c>
      <c r="B46" s="39"/>
      <c r="C46" s="39"/>
      <c r="D46" s="39"/>
      <c r="E46" s="39"/>
      <c r="F46" s="39"/>
      <c r="G46" s="39"/>
      <c r="H46" s="39"/>
      <c r="I46" s="39"/>
      <c r="J46" s="43">
        <f>D4</f>
        <v>1590</v>
      </c>
      <c r="K46" s="43"/>
      <c r="L46" s="67"/>
      <c r="O46" s="49"/>
      <c r="P46" s="49"/>
      <c r="Q46" s="49"/>
      <c r="R46" s="49"/>
      <c r="S46" s="49"/>
    </row>
    <row r="47" spans="1:19" s="40" customFormat="1" ht="15.75" x14ac:dyDescent="0.25">
      <c r="J47" s="44"/>
      <c r="K47" s="44"/>
      <c r="L47" s="67"/>
      <c r="O47" s="49"/>
      <c r="P47" s="49"/>
      <c r="Q47" s="49"/>
      <c r="R47" s="49"/>
      <c r="S47" s="49"/>
    </row>
    <row r="48" spans="1:19" s="40" customFormat="1" ht="18.75" customHeight="1" x14ac:dyDescent="0.25">
      <c r="A48" s="41" t="s">
        <v>43</v>
      </c>
      <c r="B48" s="42"/>
      <c r="C48" s="42"/>
      <c r="D48" s="42"/>
      <c r="E48" s="42"/>
      <c r="F48" s="42"/>
      <c r="G48" s="42"/>
      <c r="H48" s="42"/>
      <c r="I48" s="42"/>
      <c r="J48" s="45">
        <f>J46-J44</f>
        <v>-506.23892722264281</v>
      </c>
      <c r="K48" s="45"/>
      <c r="L48" s="67"/>
      <c r="O48" s="49"/>
      <c r="P48" s="49"/>
      <c r="Q48" s="49"/>
      <c r="R48" s="49"/>
      <c r="S48" s="49"/>
    </row>
    <row r="49" spans="10:11" x14ac:dyDescent="0.25">
      <c r="J49" s="22"/>
      <c r="K49" s="2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1A663-64E0-4B57-9F48-5450F81358F5}">
  <dimension ref="A1:T42"/>
  <sheetViews>
    <sheetView workbookViewId="0">
      <selection activeCell="I17" sqref="I17"/>
    </sheetView>
  </sheetViews>
  <sheetFormatPr baseColWidth="10" defaultColWidth="11.5703125" defaultRowHeight="15" x14ac:dyDescent="0.25"/>
  <cols>
    <col min="1" max="1" width="35.7109375" style="23" customWidth="1"/>
    <col min="2" max="2" width="6.7109375" style="23" customWidth="1"/>
    <col min="3" max="3" width="10.28515625" style="23" customWidth="1"/>
    <col min="4" max="4" width="11.28515625" style="23" customWidth="1"/>
    <col min="5" max="5" width="10" style="23" customWidth="1"/>
    <col min="6" max="9" width="8.85546875" style="23" customWidth="1"/>
    <col min="10" max="10" width="10.42578125" style="23" customWidth="1"/>
    <col min="11" max="11" width="5.42578125" style="23" customWidth="1"/>
    <col min="12" max="12" width="6.7109375" style="25" customWidth="1"/>
    <col min="13" max="13" width="6.7109375" style="150" customWidth="1"/>
    <col min="14" max="19" width="6.7109375" style="23" customWidth="1"/>
    <col min="20" max="20" width="9.140625" style="23" customWidth="1"/>
    <col min="21" max="21" width="6.7109375" style="23" customWidth="1"/>
    <col min="22" max="16384" width="11.5703125" style="23"/>
  </cols>
  <sheetData>
    <row r="1" spans="1:20" ht="26.25" x14ac:dyDescent="0.4">
      <c r="A1" s="29" t="s">
        <v>57</v>
      </c>
      <c r="H1" s="161"/>
      <c r="I1" s="161"/>
      <c r="L1" s="158"/>
      <c r="M1" s="124"/>
      <c r="N1" s="124"/>
      <c r="O1" s="124"/>
    </row>
    <row r="2" spans="1:20" x14ac:dyDescent="0.25">
      <c r="A2" s="23" t="s">
        <v>205</v>
      </c>
      <c r="H2" s="162"/>
      <c r="I2" s="161"/>
      <c r="M2" s="124"/>
      <c r="N2" s="124"/>
      <c r="O2" s="124"/>
    </row>
    <row r="3" spans="1:20" x14ac:dyDescent="0.25">
      <c r="H3" s="162"/>
      <c r="I3" s="161"/>
      <c r="M3" s="124"/>
      <c r="N3" s="124"/>
      <c r="O3" s="124"/>
    </row>
    <row r="4" spans="1:20" x14ac:dyDescent="0.25">
      <c r="A4" s="31" t="s">
        <v>9</v>
      </c>
      <c r="B4" s="23">
        <v>100</v>
      </c>
      <c r="D4" s="32">
        <v>1687.5</v>
      </c>
      <c r="E4" s="32"/>
      <c r="F4" s="23" t="s">
        <v>10</v>
      </c>
      <c r="H4" s="162"/>
      <c r="I4" s="163"/>
      <c r="L4" s="31"/>
      <c r="M4" s="159"/>
      <c r="N4" s="124"/>
      <c r="O4" s="124"/>
    </row>
    <row r="5" spans="1:20" x14ac:dyDescent="0.25">
      <c r="A5" s="31"/>
      <c r="D5" s="32"/>
      <c r="E5" s="32"/>
      <c r="L5" s="54"/>
      <c r="M5" s="23"/>
      <c r="N5" s="124"/>
      <c r="O5" s="124"/>
    </row>
    <row r="6" spans="1:20" ht="37.15" customHeight="1" thickBot="1" x14ac:dyDescent="0.35">
      <c r="A6" s="329" t="s">
        <v>19</v>
      </c>
      <c r="B6" s="204"/>
      <c r="C6" s="115" t="s">
        <v>34</v>
      </c>
      <c r="D6" s="205" t="s">
        <v>21</v>
      </c>
      <c r="E6" s="115" t="s">
        <v>181</v>
      </c>
      <c r="F6" s="206" t="s">
        <v>44</v>
      </c>
      <c r="G6" s="205" t="s">
        <v>1</v>
      </c>
      <c r="H6" s="205" t="s">
        <v>23</v>
      </c>
      <c r="I6" s="205" t="s">
        <v>25</v>
      </c>
      <c r="J6" s="115" t="s">
        <v>182</v>
      </c>
      <c r="K6" s="270"/>
      <c r="L6" s="117" t="s">
        <v>50</v>
      </c>
      <c r="M6" s="118" t="s">
        <v>51</v>
      </c>
      <c r="N6" s="118" t="s">
        <v>52</v>
      </c>
      <c r="O6" s="72" t="s">
        <v>25</v>
      </c>
      <c r="P6" s="72" t="s">
        <v>46</v>
      </c>
      <c r="Q6" s="72" t="s">
        <v>47</v>
      </c>
      <c r="R6" s="125" t="s">
        <v>69</v>
      </c>
      <c r="S6" s="125" t="s">
        <v>69</v>
      </c>
      <c r="T6" s="125" t="s">
        <v>72</v>
      </c>
    </row>
    <row r="7" spans="1:20" ht="15.75" thickTop="1" x14ac:dyDescent="0.25">
      <c r="A7" s="273"/>
      <c r="B7" s="205" t="s">
        <v>7</v>
      </c>
      <c r="C7" s="115"/>
      <c r="D7" s="205"/>
      <c r="E7" s="205" t="s">
        <v>193</v>
      </c>
      <c r="F7" s="205" t="s">
        <v>22</v>
      </c>
      <c r="G7" s="205" t="s">
        <v>41</v>
      </c>
      <c r="H7" s="205" t="s">
        <v>24</v>
      </c>
      <c r="I7" s="205" t="s">
        <v>26</v>
      </c>
      <c r="J7" s="271"/>
      <c r="K7" s="299"/>
      <c r="L7" s="118" t="s">
        <v>53</v>
      </c>
      <c r="M7" s="73"/>
      <c r="N7" s="73"/>
      <c r="O7" s="74"/>
      <c r="P7" s="74"/>
      <c r="Q7" s="74"/>
      <c r="R7" s="131" t="s">
        <v>70</v>
      </c>
      <c r="S7" s="131" t="s">
        <v>71</v>
      </c>
      <c r="T7" s="131" t="s">
        <v>74</v>
      </c>
    </row>
    <row r="8" spans="1:20" x14ac:dyDescent="0.25">
      <c r="A8" s="53" t="s">
        <v>206</v>
      </c>
      <c r="B8" s="264">
        <v>7.5</v>
      </c>
      <c r="C8" s="52">
        <f>(Satser!$B$7+(B8*Satser!$B$8))</f>
        <v>42</v>
      </c>
      <c r="D8" s="262">
        <v>40</v>
      </c>
      <c r="E8" s="333">
        <v>40</v>
      </c>
      <c r="F8" s="52">
        <f>C8*Satser!$B$9</f>
        <v>147</v>
      </c>
      <c r="G8" s="52">
        <f>Satser!$B$12*B8+ IF(D8&gt;20 &amp; D8&lt;51, 1,0) + IF(D8&gt;20, IF(D8&gt;50,Satser!$B$13*B8*30,Satser!$B$13*B8*(D8-20)), 0)+ IF(D8&gt;50, IF(D8&gt;100,Satser!$B$14*B8*50,Satser!$B$14*B8*(D8-50)), 0) + IF(D8&gt;100, Satser!$B$15*B8*(D8-100), 0)</f>
        <v>90</v>
      </c>
      <c r="H8" s="53"/>
      <c r="I8" s="52">
        <f>Satser!$B$22*E8</f>
        <v>40</v>
      </c>
      <c r="J8" s="53">
        <f>SUM(F8:I8)</f>
        <v>277</v>
      </c>
      <c r="K8" s="48">
        <f>L8-J8</f>
        <v>-10</v>
      </c>
      <c r="L8" s="168">
        <f t="shared" ref="L8:L10" si="0">SUM(M8:Q8)</f>
        <v>267</v>
      </c>
      <c r="M8" s="108">
        <v>147</v>
      </c>
      <c r="N8" s="108">
        <v>90</v>
      </c>
      <c r="O8" s="108">
        <v>30</v>
      </c>
      <c r="P8" s="108"/>
      <c r="Q8" s="108"/>
      <c r="R8" s="133">
        <v>0</v>
      </c>
      <c r="S8" s="133">
        <f t="shared" ref="S8:S10" si="1">L8+R8</f>
        <v>267</v>
      </c>
      <c r="T8" s="130">
        <f t="shared" ref="T8:T10" si="2">L8/(S8-P8-Q8)</f>
        <v>1</v>
      </c>
    </row>
    <row r="9" spans="1:20" ht="12.6" customHeight="1" x14ac:dyDescent="0.25">
      <c r="A9" s="53" t="s">
        <v>208</v>
      </c>
      <c r="B9" s="264">
        <v>7.5</v>
      </c>
      <c r="C9" s="52">
        <f>(Satser!$B$7+(B9*Satser!$B$8))</f>
        <v>42</v>
      </c>
      <c r="D9" s="262">
        <v>28</v>
      </c>
      <c r="E9" s="262"/>
      <c r="F9" s="52">
        <f>C9*Satser!$B$9</f>
        <v>147</v>
      </c>
      <c r="G9" s="52">
        <f>Satser!$B$12*B9+ IF(D9&gt;20 &amp; D9&lt;51, 1,0) + IF(D9&gt;20, IF(D9&gt;50,Satser!$B$13*B9*30,Satser!$B$13*B9*(D9-20)), 0)+ IF(D9&gt;50, IF(D9&gt;100,Satser!$B$14*B9*50,Satser!$B$14*B9*(D9-50)), 0) + IF(D9&gt;100, Satser!$B$15*B9*(D9-100), 0)</f>
        <v>72</v>
      </c>
      <c r="H9" s="53"/>
      <c r="I9" s="52">
        <f>Satser!$B$22*E9</f>
        <v>0</v>
      </c>
      <c r="J9" s="53">
        <f>SUM(F9:I9)*T9</f>
        <v>144.98611111111111</v>
      </c>
      <c r="K9" s="48">
        <f>L9-J9</f>
        <v>-1.9861111111111143</v>
      </c>
      <c r="L9" s="168">
        <f t="shared" si="0"/>
        <v>143</v>
      </c>
      <c r="M9" s="108">
        <v>98</v>
      </c>
      <c r="N9" s="108">
        <v>24</v>
      </c>
      <c r="O9" s="108">
        <v>21</v>
      </c>
      <c r="P9" s="108"/>
      <c r="Q9" s="108"/>
      <c r="R9" s="133">
        <v>73</v>
      </c>
      <c r="S9" s="133">
        <f t="shared" si="1"/>
        <v>216</v>
      </c>
      <c r="T9" s="130">
        <f t="shared" si="2"/>
        <v>0.66203703703703709</v>
      </c>
    </row>
    <row r="10" spans="1:20" ht="12.6" customHeight="1" x14ac:dyDescent="0.25">
      <c r="A10" s="53" t="s">
        <v>210</v>
      </c>
      <c r="B10" s="264">
        <v>7.5</v>
      </c>
      <c r="C10" s="52">
        <f>(Satser!$B$7+(B10*Satser!$B$8))</f>
        <v>42</v>
      </c>
      <c r="D10" s="333">
        <v>28</v>
      </c>
      <c r="E10" s="262"/>
      <c r="F10" s="52">
        <f>C10*Satser!$B$9</f>
        <v>147</v>
      </c>
      <c r="G10" s="52">
        <f>Satser!$B$12*B10+ IF(D10&gt;20 &amp; D10&lt;51, 1,0) + IF(D10&gt;20, IF(D10&gt;50,Satser!$B$13*B10*30,Satser!$B$13*B10*(D10-20)), 0)+ IF(D10&gt;50, IF(D10&gt;100,Satser!$B$14*B10*50,Satser!$B$14*B10*(D10-50)), 0) + IF(D10&gt;100, Satser!$B$15*B10*(D10-100), 0)</f>
        <v>72</v>
      </c>
      <c r="H10" s="53"/>
      <c r="I10" s="52">
        <f>Satser!$B$22*E10</f>
        <v>0</v>
      </c>
      <c r="J10" s="53">
        <f t="shared" ref="J10" si="3">SUM(F10:I10)</f>
        <v>219</v>
      </c>
      <c r="K10" s="48">
        <f>L10-J10</f>
        <v>-1.25</v>
      </c>
      <c r="L10" s="168">
        <f t="shared" si="0"/>
        <v>217.75</v>
      </c>
      <c r="M10" s="108">
        <v>100</v>
      </c>
      <c r="N10" s="108">
        <v>60</v>
      </c>
      <c r="O10" s="108">
        <v>57.75</v>
      </c>
      <c r="P10" s="108"/>
      <c r="Q10" s="108"/>
      <c r="R10" s="133">
        <v>0</v>
      </c>
      <c r="S10" s="133">
        <f t="shared" si="1"/>
        <v>217.75</v>
      </c>
      <c r="T10" s="130">
        <f t="shared" si="2"/>
        <v>1</v>
      </c>
    </row>
    <row r="11" spans="1:20" ht="12.6" customHeight="1" x14ac:dyDescent="0.25">
      <c r="A11" s="53"/>
      <c r="B11" s="332"/>
      <c r="C11" s="52"/>
      <c r="D11" s="52"/>
      <c r="E11" s="52"/>
      <c r="F11" s="52"/>
      <c r="G11" s="52"/>
      <c r="H11" s="53"/>
      <c r="I11" s="52"/>
      <c r="J11" s="53"/>
      <c r="L11" s="169">
        <f>7.5*D11</f>
        <v>0</v>
      </c>
      <c r="M11" s="169">
        <f>SUM(M8:M10)</f>
        <v>345</v>
      </c>
      <c r="N11" s="169">
        <f t="shared" ref="N11:O11" si="4">SUM(N8:N10)</f>
        <v>174</v>
      </c>
      <c r="O11" s="169">
        <f t="shared" si="4"/>
        <v>108.75</v>
      </c>
      <c r="P11" s="169"/>
      <c r="Q11" s="169"/>
      <c r="R11" s="133"/>
      <c r="S11" s="133"/>
      <c r="T11" s="130"/>
    </row>
    <row r="12" spans="1:20" x14ac:dyDescent="0.25">
      <c r="A12" s="22"/>
      <c r="B12" s="22"/>
      <c r="C12" s="22"/>
      <c r="D12" s="22"/>
      <c r="E12" s="22"/>
      <c r="F12" s="22"/>
      <c r="G12" s="22"/>
      <c r="H12" s="52"/>
      <c r="I12" s="22"/>
      <c r="J12" s="17"/>
      <c r="K12" s="17"/>
    </row>
    <row r="13" spans="1:20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17"/>
      <c r="K13" s="17"/>
    </row>
    <row r="14" spans="1:20" ht="26.25" x14ac:dyDescent="0.25">
      <c r="A14" s="172" t="s">
        <v>109</v>
      </c>
      <c r="B14" s="24" t="s">
        <v>7</v>
      </c>
      <c r="C14" s="189" t="s">
        <v>115</v>
      </c>
      <c r="D14" s="189" t="s">
        <v>120</v>
      </c>
      <c r="E14" s="189"/>
      <c r="K14" s="22"/>
    </row>
    <row r="15" spans="1:20" s="25" customFormat="1" x14ac:dyDescent="0.25">
      <c r="A15" s="53" t="s">
        <v>207</v>
      </c>
      <c r="B15" s="265">
        <v>15</v>
      </c>
      <c r="C15" s="331">
        <f>Satser!B17</f>
        <v>5</v>
      </c>
      <c r="D15" s="331">
        <v>4</v>
      </c>
      <c r="E15" s="247"/>
      <c r="F15" s="23"/>
      <c r="J15" s="22">
        <f>B15+(C15*D15)</f>
        <v>35</v>
      </c>
      <c r="K15" s="78"/>
      <c r="L15"/>
      <c r="M15" s="150"/>
      <c r="N15" s="102">
        <v>60</v>
      </c>
    </row>
    <row r="16" spans="1:20" x14ac:dyDescent="0.25">
      <c r="A16" s="53" t="s">
        <v>209</v>
      </c>
      <c r="B16" s="267">
        <v>30</v>
      </c>
      <c r="C16" s="267">
        <f>Satser!B18</f>
        <v>15</v>
      </c>
      <c r="D16" s="268">
        <v>2</v>
      </c>
      <c r="E16" s="201"/>
      <c r="F16" s="191"/>
      <c r="G16" s="191"/>
      <c r="H16" s="191"/>
      <c r="I16" s="191"/>
      <c r="J16" s="22">
        <f t="shared" ref="J16" si="5">B16+(C16*D16)</f>
        <v>60</v>
      </c>
      <c r="K16" s="192"/>
      <c r="L16"/>
      <c r="N16" s="102">
        <v>60</v>
      </c>
    </row>
    <row r="17" spans="1:14" x14ac:dyDescent="0.25">
      <c r="J17" s="22"/>
      <c r="K17" s="22"/>
      <c r="L17" s="30"/>
      <c r="N17" s="102"/>
    </row>
    <row r="18" spans="1:14" ht="18" thickBot="1" x14ac:dyDescent="0.35">
      <c r="A18" s="47" t="s">
        <v>27</v>
      </c>
      <c r="B18" s="34"/>
      <c r="C18" s="34"/>
      <c r="D18" s="34"/>
      <c r="E18" s="277"/>
      <c r="F18" s="277"/>
      <c r="J18" s="22"/>
      <c r="K18" s="22"/>
    </row>
    <row r="19" spans="1:14" ht="15.75" thickTop="1" x14ac:dyDescent="0.25">
      <c r="A19" s="35" t="s">
        <v>32</v>
      </c>
      <c r="C19" s="26"/>
      <c r="D19" s="269">
        <v>0.44500000000000001</v>
      </c>
      <c r="E19" s="278"/>
      <c r="F19" s="191"/>
      <c r="J19" s="22">
        <f>D4*D19</f>
        <v>750.9375</v>
      </c>
      <c r="K19" s="22"/>
    </row>
    <row r="20" spans="1:14" x14ac:dyDescent="0.25">
      <c r="J20" s="22"/>
      <c r="K20" s="22"/>
    </row>
    <row r="21" spans="1:14" ht="18" thickBot="1" x14ac:dyDescent="0.35">
      <c r="A21" s="47" t="s">
        <v>48</v>
      </c>
      <c r="B21" s="34"/>
      <c r="C21" s="277"/>
      <c r="J21" s="22"/>
      <c r="K21" s="22"/>
    </row>
    <row r="22" spans="1:14" ht="15.75" thickTop="1" x14ac:dyDescent="0.25">
      <c r="A22" s="35" t="s">
        <v>33</v>
      </c>
      <c r="C22" s="279"/>
      <c r="D22" s="281">
        <v>0.06</v>
      </c>
      <c r="E22" s="27"/>
      <c r="J22" s="53">
        <f>D22*D4</f>
        <v>101.25</v>
      </c>
      <c r="K22" s="81"/>
    </row>
    <row r="23" spans="1:14" x14ac:dyDescent="0.25">
      <c r="A23" s="35"/>
      <c r="B23" s="27"/>
      <c r="C23" s="27"/>
      <c r="D23" s="30"/>
      <c r="E23" s="30"/>
      <c r="J23" s="81"/>
      <c r="K23" s="81"/>
    </row>
    <row r="24" spans="1:14" x14ac:dyDescent="0.25">
      <c r="A24" s="31"/>
      <c r="B24" s="27"/>
      <c r="C24" s="27"/>
      <c r="J24" s="22"/>
      <c r="K24" s="22"/>
    </row>
    <row r="25" spans="1:14" ht="18" thickBot="1" x14ac:dyDescent="0.35">
      <c r="A25" s="47" t="s">
        <v>20</v>
      </c>
      <c r="J25" s="22"/>
      <c r="K25" s="22"/>
    </row>
    <row r="26" spans="1:14" ht="15.75" thickTop="1" x14ac:dyDescent="0.25">
      <c r="A26" s="35" t="s">
        <v>121</v>
      </c>
      <c r="C26" s="27"/>
      <c r="D26" s="281">
        <v>0.05</v>
      </c>
      <c r="E26" s="27"/>
      <c r="J26" s="22">
        <f>D4*D26</f>
        <v>84.375</v>
      </c>
      <c r="K26" s="22"/>
    </row>
    <row r="27" spans="1:14" x14ac:dyDescent="0.25">
      <c r="A27" s="35"/>
      <c r="C27" s="27"/>
      <c r="D27" s="27"/>
      <c r="E27" s="27"/>
      <c r="J27" s="22"/>
      <c r="K27" s="22"/>
    </row>
    <row r="28" spans="1:14" x14ac:dyDescent="0.25">
      <c r="A28" s="173" t="s">
        <v>110</v>
      </c>
      <c r="B28" s="54"/>
      <c r="C28" s="54"/>
      <c r="D28" s="54"/>
      <c r="E28" s="54"/>
      <c r="F28" s="54"/>
      <c r="G28" s="54"/>
      <c r="H28" s="54"/>
      <c r="I28" s="54"/>
      <c r="J28" s="53"/>
      <c r="K28" s="53"/>
      <c r="L28" s="49"/>
    </row>
    <row r="29" spans="1:14" x14ac:dyDescent="0.25">
      <c r="A29" s="173" t="s">
        <v>189</v>
      </c>
      <c r="B29" s="282"/>
      <c r="C29" s="298" t="s">
        <v>191</v>
      </c>
      <c r="D29" s="282"/>
      <c r="E29" s="298" t="s">
        <v>192</v>
      </c>
      <c r="F29" s="52"/>
      <c r="G29" s="54"/>
      <c r="H29" s="284"/>
      <c r="I29" s="334">
        <f>Satser!$B$63+B29+(D29*Satser!$B$64)</f>
        <v>20</v>
      </c>
      <c r="K29" s="53"/>
      <c r="L29" s="181"/>
      <c r="M29" s="160"/>
    </row>
    <row r="30" spans="1:14" x14ac:dyDescent="0.25">
      <c r="A30" s="285" t="s">
        <v>111</v>
      </c>
      <c r="B30" s="283"/>
      <c r="C30" s="247"/>
      <c r="D30" s="286"/>
      <c r="E30" s="286"/>
      <c r="F30" s="54"/>
      <c r="G30" s="54"/>
      <c r="H30" s="54"/>
      <c r="I30" s="54"/>
      <c r="J30" s="52"/>
      <c r="K30" s="53"/>
      <c r="M30" s="23"/>
    </row>
    <row r="31" spans="1:14" x14ac:dyDescent="0.25">
      <c r="A31" s="54" t="s">
        <v>112</v>
      </c>
      <c r="B31" s="286"/>
      <c r="C31" s="286"/>
      <c r="D31" s="286"/>
      <c r="E31" s="286"/>
      <c r="F31" s="287"/>
      <c r="G31" s="287"/>
      <c r="H31" s="54"/>
      <c r="I31" s="54"/>
      <c r="J31" s="53"/>
      <c r="K31" s="53"/>
      <c r="L31" s="23"/>
      <c r="M31" s="23"/>
    </row>
    <row r="32" spans="1:14" x14ac:dyDescent="0.25">
      <c r="A32" s="54" t="s">
        <v>122</v>
      </c>
      <c r="B32" s="286"/>
      <c r="C32" s="286"/>
      <c r="D32" s="286"/>
      <c r="E32" s="286"/>
      <c r="F32" s="54"/>
      <c r="G32" s="54"/>
      <c r="H32" s="54"/>
      <c r="I32" s="54"/>
      <c r="J32" s="53"/>
      <c r="K32" s="53"/>
      <c r="M32" s="23"/>
    </row>
    <row r="33" spans="1:18" x14ac:dyDescent="0.25">
      <c r="A33" s="54" t="s">
        <v>123</v>
      </c>
      <c r="B33" s="54"/>
      <c r="C33" s="54"/>
      <c r="D33" s="54"/>
      <c r="E33" s="54"/>
      <c r="F33" s="54"/>
      <c r="G33" s="54"/>
      <c r="H33" s="54"/>
      <c r="I33" s="54"/>
      <c r="J33" s="54"/>
      <c r="K33" s="53"/>
    </row>
    <row r="34" spans="1:18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3"/>
      <c r="M34" s="49"/>
      <c r="N34" s="49"/>
      <c r="O34" s="49"/>
      <c r="P34" s="49"/>
      <c r="Q34" s="49"/>
    </row>
    <row r="35" spans="1:18" s="40" customFormat="1" ht="17.25" customHeight="1" x14ac:dyDescent="0.25">
      <c r="A35" s="288" t="s">
        <v>42</v>
      </c>
      <c r="B35" s="289"/>
      <c r="C35" s="289"/>
      <c r="D35" s="289"/>
      <c r="E35" s="289"/>
      <c r="F35" s="289"/>
      <c r="G35" s="289"/>
      <c r="H35" s="289"/>
      <c r="I35" s="289"/>
      <c r="J35" s="290">
        <f>SUM(J8:J34)</f>
        <v>1672.5486111111111</v>
      </c>
      <c r="K35" s="290"/>
      <c r="M35" s="49"/>
      <c r="N35" s="49"/>
      <c r="O35" s="49"/>
      <c r="P35" s="49"/>
      <c r="Q35" s="199"/>
      <c r="R35" s="199"/>
    </row>
    <row r="36" spans="1:18" s="40" customFormat="1" ht="15.75" x14ac:dyDescent="0.25">
      <c r="A36" s="291"/>
      <c r="B36" s="291"/>
      <c r="C36" s="291"/>
      <c r="D36" s="291"/>
      <c r="E36" s="291"/>
      <c r="F36" s="291"/>
      <c r="G36" s="291"/>
      <c r="H36" s="291"/>
      <c r="I36" s="291"/>
      <c r="J36" s="292"/>
      <c r="K36" s="292"/>
      <c r="M36" s="49"/>
      <c r="N36" s="49"/>
      <c r="O36" s="49"/>
      <c r="P36" s="49"/>
      <c r="Q36" s="49"/>
      <c r="R36" s="49"/>
    </row>
    <row r="37" spans="1:18" s="40" customFormat="1" ht="18" customHeight="1" x14ac:dyDescent="0.25">
      <c r="A37" s="288" t="s">
        <v>31</v>
      </c>
      <c r="B37" s="289"/>
      <c r="C37" s="289"/>
      <c r="D37" s="289"/>
      <c r="E37" s="289"/>
      <c r="F37" s="289"/>
      <c r="G37" s="289"/>
      <c r="H37" s="289"/>
      <c r="I37" s="289"/>
      <c r="J37" s="290">
        <f>D4</f>
        <v>1687.5</v>
      </c>
      <c r="K37" s="290"/>
      <c r="M37" s="49"/>
      <c r="N37" s="49"/>
      <c r="O37" s="49"/>
      <c r="P37" s="49"/>
      <c r="Q37" s="49"/>
      <c r="R37" s="49"/>
    </row>
    <row r="38" spans="1:18" s="40" customFormat="1" ht="15.75" x14ac:dyDescent="0.25">
      <c r="A38" s="291"/>
      <c r="B38" s="291"/>
      <c r="C38" s="291"/>
      <c r="D38" s="291"/>
      <c r="E38" s="291"/>
      <c r="F38" s="291"/>
      <c r="G38" s="291"/>
      <c r="H38" s="291"/>
      <c r="I38" s="291"/>
      <c r="J38" s="292"/>
      <c r="K38" s="292"/>
      <c r="M38" s="49"/>
      <c r="N38" s="49"/>
      <c r="O38" s="49"/>
      <c r="P38" s="49"/>
      <c r="Q38" s="49"/>
      <c r="R38" s="49"/>
    </row>
    <row r="39" spans="1:18" s="40" customFormat="1" ht="18.75" customHeight="1" x14ac:dyDescent="0.25">
      <c r="A39" s="293" t="s">
        <v>43</v>
      </c>
      <c r="B39" s="294"/>
      <c r="C39" s="294"/>
      <c r="D39" s="294"/>
      <c r="E39" s="294"/>
      <c r="F39" s="294"/>
      <c r="G39" s="294"/>
      <c r="H39" s="294"/>
      <c r="I39" s="294"/>
      <c r="J39" s="295">
        <f>J37-J35</f>
        <v>14.951388888888914</v>
      </c>
      <c r="K39" s="295"/>
      <c r="M39" s="49"/>
      <c r="N39" s="49"/>
      <c r="O39" s="49"/>
      <c r="P39" s="49"/>
      <c r="Q39" s="49"/>
      <c r="R39" s="49"/>
    </row>
    <row r="40" spans="1:18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3"/>
      <c r="K40" s="53"/>
      <c r="M40" s="49"/>
      <c r="N40" s="49"/>
      <c r="O40" s="49"/>
      <c r="P40" s="49"/>
      <c r="Q40" s="199"/>
      <c r="R40" s="199"/>
    </row>
    <row r="41" spans="1:18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Q41" s="31"/>
      <c r="R41" s="296"/>
    </row>
    <row r="42" spans="1:18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Satser</vt:lpstr>
      <vt:lpstr>Ark2</vt:lpstr>
      <vt:lpstr>MAL</vt:lpstr>
      <vt:lpstr>Eks HIU</vt:lpstr>
      <vt:lpstr>Eks TNM</vt:lpstr>
      <vt:lpstr>Eks HS</vt:lpstr>
      <vt:lpstr>Eks HH</vt:lpstr>
      <vt:lpstr>Satser!_Toc90052746</vt:lpstr>
    </vt:vector>
  </TitlesOfParts>
  <Company>HBV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Bogen</dc:creator>
  <cp:lastModifiedBy>Sigurd Hareide</cp:lastModifiedBy>
  <cp:lastPrinted>2017-02-16T09:49:02Z</cp:lastPrinted>
  <dcterms:created xsi:type="dcterms:W3CDTF">2015-02-18T11:40:41Z</dcterms:created>
  <dcterms:modified xsi:type="dcterms:W3CDTF">2022-01-13T11:35:40Z</dcterms:modified>
</cp:coreProperties>
</file>